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dfo\Desktop\Manuals\Exam 5 Study Manual\Website Materials\Galecki\"/>
    </mc:Choice>
  </mc:AlternateContent>
  <xr:revisionPtr revIDLastSave="0" documentId="13_ncr:1_{4736DE09-344E-4992-9E21-111C93BAB082}" xr6:coauthVersionLast="46" xr6:coauthVersionMax="46" xr10:uidLastSave="{00000000-0000-0000-0000-000000000000}"/>
  <bookViews>
    <workbookView xWindow="-30828" yWindow="-108" windowWidth="30936" windowHeight="16896" activeTab="1" xr2:uid="{00000000-000D-0000-FFFF-FFFF00000000}"/>
  </bookViews>
  <sheets>
    <sheet name="Intro" sheetId="10" r:id="rId1"/>
    <sheet name="17_1_1" sheetId="1" r:id="rId2"/>
    <sheet name="17_2_1" sheetId="2" r:id="rId3"/>
    <sheet name="17_3_1" sheetId="3" r:id="rId4"/>
    <sheet name="17_3_2" sheetId="4" r:id="rId5"/>
    <sheet name="17_4_1" sheetId="5" r:id="rId6"/>
    <sheet name="17_4_2" sheetId="6" r:id="rId7"/>
    <sheet name="17_4_3" sheetId="7" r:id="rId8"/>
    <sheet name="17_4_4" sheetId="8" r:id="rId9"/>
    <sheet name="17_4_5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16" i="1"/>
  <c r="C11" i="9" l="1"/>
  <c r="E11" i="9" s="1"/>
  <c r="D11" i="9"/>
  <c r="C12" i="9"/>
  <c r="E12" i="9" s="1"/>
  <c r="D12" i="9"/>
  <c r="C13" i="9"/>
  <c r="E13" i="9" s="1"/>
  <c r="D13" i="9"/>
  <c r="C14" i="9"/>
  <c r="E14" i="9" s="1"/>
  <c r="D14" i="9"/>
  <c r="C15" i="9"/>
  <c r="E15" i="9" s="1"/>
  <c r="D15" i="9"/>
  <c r="D10" i="9"/>
  <c r="D17" i="9" s="1"/>
  <c r="C10" i="9"/>
  <c r="E10" i="9" s="1"/>
  <c r="D15" i="8"/>
  <c r="C15" i="8"/>
  <c r="E15" i="8" s="1"/>
  <c r="B15" i="8"/>
  <c r="F15" i="8" s="1"/>
  <c r="D14" i="8"/>
  <c r="C14" i="8"/>
  <c r="E14" i="8" s="1"/>
  <c r="B14" i="8"/>
  <c r="F14" i="8" s="1"/>
  <c r="D13" i="8"/>
  <c r="C13" i="8"/>
  <c r="E13" i="8" s="1"/>
  <c r="B13" i="8"/>
  <c r="D12" i="8"/>
  <c r="C12" i="8"/>
  <c r="E12" i="8" s="1"/>
  <c r="B12" i="8"/>
  <c r="D11" i="8"/>
  <c r="C11" i="8"/>
  <c r="E11" i="8" s="1"/>
  <c r="B11" i="8"/>
  <c r="F11" i="8" s="1"/>
  <c r="D10" i="8"/>
  <c r="D17" i="8" s="1"/>
  <c r="C10" i="8"/>
  <c r="C17" i="8" s="1"/>
  <c r="B10" i="8"/>
  <c r="D11" i="7"/>
  <c r="D12" i="7"/>
  <c r="D13" i="7"/>
  <c r="D14" i="7"/>
  <c r="D15" i="7"/>
  <c r="D10" i="7"/>
  <c r="D17" i="7" s="1"/>
  <c r="C11" i="7"/>
  <c r="E11" i="7" s="1"/>
  <c r="C12" i="7"/>
  <c r="E12" i="7" s="1"/>
  <c r="C13" i="7"/>
  <c r="E13" i="7" s="1"/>
  <c r="C14" i="7"/>
  <c r="E14" i="7" s="1"/>
  <c r="C15" i="7"/>
  <c r="E15" i="7" s="1"/>
  <c r="C10" i="7"/>
  <c r="E10" i="7" s="1"/>
  <c r="B11" i="7"/>
  <c r="F11" i="7" s="1"/>
  <c r="B12" i="7"/>
  <c r="F12" i="7" s="1"/>
  <c r="B13" i="7"/>
  <c r="B14" i="7"/>
  <c r="B15" i="7"/>
  <c r="F15" i="7" s="1"/>
  <c r="B10" i="7"/>
  <c r="B17" i="7" s="1"/>
  <c r="G26" i="6"/>
  <c r="F26" i="6"/>
  <c r="B12" i="6"/>
  <c r="B11" i="9" s="1"/>
  <c r="F11" i="9" s="1"/>
  <c r="C12" i="6"/>
  <c r="E12" i="6" s="1"/>
  <c r="D12" i="6"/>
  <c r="B13" i="6"/>
  <c r="B12" i="9" s="1"/>
  <c r="F12" i="9" s="1"/>
  <c r="C13" i="6"/>
  <c r="E13" i="6" s="1"/>
  <c r="D13" i="6"/>
  <c r="B14" i="6"/>
  <c r="C14" i="6"/>
  <c r="E14" i="6" s="1"/>
  <c r="D14" i="6"/>
  <c r="B15" i="6"/>
  <c r="F15" i="6" s="1"/>
  <c r="C15" i="6"/>
  <c r="E15" i="6" s="1"/>
  <c r="D15" i="6"/>
  <c r="B16" i="6"/>
  <c r="B15" i="9" s="1"/>
  <c r="F15" i="9" s="1"/>
  <c r="C16" i="6"/>
  <c r="E16" i="6" s="1"/>
  <c r="D16" i="6"/>
  <c r="C11" i="6"/>
  <c r="E11" i="6" s="1"/>
  <c r="D11" i="6"/>
  <c r="D18" i="6" s="1"/>
  <c r="B11" i="6"/>
  <c r="B18" i="6" s="1"/>
  <c r="C17" i="5"/>
  <c r="D17" i="5"/>
  <c r="E17" i="5"/>
  <c r="F17" i="5"/>
  <c r="F21" i="9" s="1"/>
  <c r="G17" i="5"/>
  <c r="H17" i="5"/>
  <c r="B17" i="5"/>
  <c r="G27" i="4"/>
  <c r="G25" i="4"/>
  <c r="C15" i="4"/>
  <c r="B15" i="4"/>
  <c r="F11" i="4"/>
  <c r="F12" i="4"/>
  <c r="F13" i="4"/>
  <c r="F10" i="4"/>
  <c r="D11" i="3"/>
  <c r="K11" i="3" s="1"/>
  <c r="D12" i="3"/>
  <c r="M12" i="3" s="1"/>
  <c r="D13" i="3"/>
  <c r="M13" i="3" s="1"/>
  <c r="D10" i="3"/>
  <c r="M10" i="3" s="1"/>
  <c r="G28" i="2"/>
  <c r="G26" i="2"/>
  <c r="G24" i="2"/>
  <c r="E11" i="2"/>
  <c r="E12" i="2"/>
  <c r="E13" i="2"/>
  <c r="E14" i="2"/>
  <c r="E10" i="2"/>
  <c r="D29" i="1"/>
  <c r="D26" i="1"/>
  <c r="D24" i="1"/>
  <c r="D16" i="1"/>
  <c r="D11" i="1"/>
  <c r="D12" i="1"/>
  <c r="D13" i="1"/>
  <c r="D14" i="1"/>
  <c r="D10" i="1"/>
  <c r="F12" i="8" l="1"/>
  <c r="E17" i="9"/>
  <c r="F14" i="7"/>
  <c r="G14" i="6"/>
  <c r="F13" i="7"/>
  <c r="F13" i="8"/>
  <c r="L10" i="3"/>
  <c r="M11" i="3"/>
  <c r="F14" i="6"/>
  <c r="G11" i="6"/>
  <c r="G13" i="6"/>
  <c r="F10" i="7"/>
  <c r="E10" i="8"/>
  <c r="F10" i="8" s="1"/>
  <c r="B13" i="9"/>
  <c r="F13" i="9" s="1"/>
  <c r="F24" i="9"/>
  <c r="F28" i="9" s="1"/>
  <c r="K10" i="3"/>
  <c r="L12" i="3"/>
  <c r="F11" i="6"/>
  <c r="F13" i="6"/>
  <c r="G16" i="6"/>
  <c r="G12" i="6"/>
  <c r="C17" i="7"/>
  <c r="B17" i="8"/>
  <c r="F21" i="8"/>
  <c r="B10" i="9"/>
  <c r="B14" i="9"/>
  <c r="F14" i="9" s="1"/>
  <c r="C17" i="9"/>
  <c r="F25" i="9"/>
  <c r="F29" i="9" s="1"/>
  <c r="J10" i="3"/>
  <c r="L11" i="3"/>
  <c r="C18" i="6"/>
  <c r="F18" i="6" s="1"/>
  <c r="F16" i="6"/>
  <c r="F12" i="6"/>
  <c r="G15" i="6"/>
  <c r="F21" i="7"/>
  <c r="E17" i="8"/>
  <c r="E17" i="7"/>
  <c r="F17" i="7" s="1"/>
  <c r="E18" i="6"/>
  <c r="G18" i="6" s="1"/>
  <c r="F15" i="4"/>
  <c r="G11" i="2"/>
  <c r="G12" i="2"/>
  <c r="G13" i="2"/>
  <c r="G14" i="2"/>
  <c r="G10" i="2"/>
  <c r="F11" i="2"/>
  <c r="F12" i="2"/>
  <c r="F13" i="2"/>
  <c r="F14" i="2"/>
  <c r="F10" i="2"/>
  <c r="C16" i="2"/>
  <c r="D16" i="2"/>
  <c r="E16" i="2"/>
  <c r="B16" i="2"/>
  <c r="F16" i="2" s="1"/>
  <c r="L15" i="3"/>
  <c r="D12" i="4" s="1"/>
  <c r="G12" i="4" s="1"/>
  <c r="K15" i="3"/>
  <c r="D11" i="4" s="1"/>
  <c r="G11" i="4" s="1"/>
  <c r="M15" i="3"/>
  <c r="D13" i="4" s="1"/>
  <c r="G13" i="4" s="1"/>
  <c r="J15" i="3"/>
  <c r="D10" i="4" s="1"/>
  <c r="D15" i="4" s="1"/>
  <c r="G15" i="4" s="1"/>
  <c r="D15" i="3"/>
  <c r="B15" i="3"/>
  <c r="G10" i="4" l="1"/>
  <c r="B17" i="9"/>
  <c r="F17" i="9" s="1"/>
  <c r="F10" i="9"/>
  <c r="G16" i="2"/>
  <c r="F26" i="7"/>
  <c r="F25" i="7"/>
  <c r="F24" i="7"/>
  <c r="F25" i="8"/>
  <c r="F24" i="8"/>
  <c r="F26" i="8"/>
  <c r="F17" i="8"/>
</calcChain>
</file>

<file path=xl/sharedStrings.xml><?xml version="1.0" encoding="utf-8"?>
<sst xmlns="http://schemas.openxmlformats.org/spreadsheetml/2006/main" count="320" uniqueCount="171">
  <si>
    <t>Chapter 17 - Unallocated Loss Adjustment Expenses</t>
  </si>
  <si>
    <t>Exhibit I</t>
  </si>
  <si>
    <t>XYZ Insurer - Classical Technique</t>
  </si>
  <si>
    <t>Development of Unpaid ULAE</t>
  </si>
  <si>
    <t>Ratio of</t>
  </si>
  <si>
    <t>Calendar</t>
  </si>
  <si>
    <t>Paid</t>
  </si>
  <si>
    <t>Paid ULAE to</t>
  </si>
  <si>
    <t>Year</t>
  </si>
  <si>
    <t>ULAE</t>
  </si>
  <si>
    <t>Claims</t>
  </si>
  <si>
    <t>Paid Claims</t>
  </si>
  <si>
    <t>Total</t>
  </si>
  <si>
    <t>(5) Selected ULAE Ratio</t>
  </si>
  <si>
    <t>(6) Case Outstanding at 12/31/08</t>
  </si>
  <si>
    <t>(7) Total IBNR at 12/31/08</t>
  </si>
  <si>
    <t>(8) Pure IBNR at 12/31/08</t>
  </si>
  <si>
    <t>(9) Estimated Unpaid ULAE at 12/31/08</t>
  </si>
  <si>
    <t>Using Total IBNR</t>
  </si>
  <si>
    <t>(10) Estimated Unpaid ULAE at 12/31/08</t>
  </si>
  <si>
    <t>Using Pure IBNR</t>
  </si>
  <si>
    <t>Column and Line Notes:</t>
  </si>
  <si>
    <t>(2) and (3) Based on data from XYZ Insurer.</t>
  </si>
  <si>
    <t>(4) = [(2) / (3)].</t>
  </si>
  <si>
    <t>(5) Selected based on ULAE ratios in (4).</t>
  </si>
  <si>
    <t>(6) Based on data from XYZ Insurer.</t>
  </si>
  <si>
    <t>(7) Based on actuarial analysis at 12/31/08 for all lines combined.</t>
  </si>
  <si>
    <t>(8) Estimated assuming pure IBNR is equal to 5% of accident year</t>
  </si>
  <si>
    <t>2008 ultimate claims. Ultimate claims for all lines combined for</t>
  </si>
  <si>
    <t>accident year 2008 are $380 million for XYZ Insurer.</t>
  </si>
  <si>
    <t>(9) = {[(5) x 50% x (6)] + [(5) x 100% x (7)]}.</t>
  </si>
  <si>
    <t>(10) = {[(5) x 50% x ((6) + (7) - (8))] + [(5) x 100% x (8)]}.</t>
  </si>
  <si>
    <t>17_1</t>
  </si>
  <si>
    <t>Exhibit II</t>
  </si>
  <si>
    <t>XYZ Insurer - Kittel Technique</t>
  </si>
  <si>
    <t>Average</t>
  </si>
  <si>
    <t>ULAE Ratio - Paid ULAE to</t>
  </si>
  <si>
    <t>Incurred</t>
  </si>
  <si>
    <t>Paid and Inc.</t>
  </si>
  <si>
    <t>Avg Paid and</t>
  </si>
  <si>
    <t>Inc. Claims</t>
  </si>
  <si>
    <t>(8) Selected ULAE Ratio</t>
  </si>
  <si>
    <t>(9) Case Outstanding at 12/31/08</t>
  </si>
  <si>
    <t>(10) Total IBNR at 12/31/08</t>
  </si>
  <si>
    <t>(11) Pure IBNR at 12/31/08</t>
  </si>
  <si>
    <t>(12) Estimated Unpaid ULAE at 12/31/08 Using Total IBNR</t>
  </si>
  <si>
    <t>(13) Estimated Unpaid ULAE at 12/31/08 Using Pure IBNR</t>
  </si>
  <si>
    <t>(2) through (4) Based on data from XYZ Insurer.</t>
  </si>
  <si>
    <t>(5) = [Average of (3) and (4)].</t>
  </si>
  <si>
    <t>(6) = [(2) / (3)].</t>
  </si>
  <si>
    <t>(7) = [(2) / (5)].</t>
  </si>
  <si>
    <t>(8) Selected based on ULAE ratios in (7).</t>
  </si>
  <si>
    <t>(9) Based on data from XYZ Insurer.</t>
  </si>
  <si>
    <t>(10) Based on actuarial analysis at 12/31/08 for all lines combined.</t>
  </si>
  <si>
    <t>(11) Estimated assuming pure IBNR is equal to 5% of accident year 2008 ultimate claims.</t>
  </si>
  <si>
    <t>Ultimate claims for all lines combined for accident year 2008 are $380 million for XYZ Insurer.</t>
  </si>
  <si>
    <t>(12) = {[(8) x 50% x (9)] + [(8) x 100% x (10)]}.</t>
  </si>
  <si>
    <t>(13) = {[(8) x 50% x ((9) + (10) - (11))] + [(8) x 100% x (11)]}.</t>
  </si>
  <si>
    <t>17_2</t>
  </si>
  <si>
    <t>Exhibit III</t>
  </si>
  <si>
    <t>New Small Insurer - Mango-Allen Refinement Technique</t>
  </si>
  <si>
    <t>Sheet 1</t>
  </si>
  <si>
    <t>Development of Expected Paid Claims in Calendar Year</t>
  </si>
  <si>
    <t>Direct</t>
  </si>
  <si>
    <t>Expected</t>
  </si>
  <si>
    <t>Accident</t>
  </si>
  <si>
    <t>Earned</t>
  </si>
  <si>
    <t>Expected Claims Paid in Calendar Year</t>
  </si>
  <si>
    <t>Premium</t>
  </si>
  <si>
    <t>Ratio</t>
  </si>
  <si>
    <t>Column Notes:</t>
  </si>
  <si>
    <t>(2) Based on information provided by New Small Insurer.</t>
  </si>
  <si>
    <t>(3) Based on actuarial analysis conducted for pricing purposes.</t>
  </si>
  <si>
    <t>(4) = [(2) x (3)].</t>
  </si>
  <si>
    <t>(5) through (8) Based on actuarial analysis of insurance industry benchmark paid claims development experience.</t>
  </si>
  <si>
    <t>(9) = [(4) x (5)].</t>
  </si>
  <si>
    <t>(10) = [(4) x (6)].</t>
  </si>
  <si>
    <t>(11) = [(4) x (7)].</t>
  </si>
  <si>
    <t>(12) = [(4) x (8)].</t>
  </si>
  <si>
    <t>17_3_1</t>
  </si>
  <si>
    <t>Sheet 2</t>
  </si>
  <si>
    <t>ULAE Ratio</t>
  </si>
  <si>
    <t>Paid ULAE-to-Paid Claims</t>
  </si>
  <si>
    <t>Actual</t>
  </si>
  <si>
    <t>(7) Selected ULAE Ratio</t>
  </si>
  <si>
    <t>(8) Case Outstanding at 12/31/08</t>
  </si>
  <si>
    <t>(9) Total IBNR at 12/31/08</t>
  </si>
  <si>
    <t>(10) Pure IBNR at 12/31/08</t>
  </si>
  <si>
    <t>(11) Estimated Unpaid ULAE at 12/31/08 Using Total IBNR</t>
  </si>
  <si>
    <t>(2) and (3) Based on data from New Small Insurer.</t>
  </si>
  <si>
    <t>(4) Developed in Exhibit III, Sheet 1.</t>
  </si>
  <si>
    <t>(5) = [(2) / (3)].</t>
  </si>
  <si>
    <t>(6) = [(2) / (4)].</t>
  </si>
  <si>
    <t>(7) Selected based on ULAE ratios in (6) and input of management of New Small Insurer.</t>
  </si>
  <si>
    <t>(8) Based on claims data from New Small Insurer.</t>
  </si>
  <si>
    <t>(9) Based on actuarial analysis at 12/31/08.</t>
  </si>
  <si>
    <t>(10) Estimated assuming pure IBNR is equal to 5% of accident year expected claims.</t>
  </si>
  <si>
    <t>(11) = {[(7) x 50% x (8)] + [(7) x 100% x (9)]}.</t>
  </si>
  <si>
    <t>(12) = {[(7) x 50% x ((8) + (9) - (10))] + [(7) x 100% x (10)]}.</t>
  </si>
  <si>
    <t>17_3_2</t>
  </si>
  <si>
    <t>Exhibit IV</t>
  </si>
  <si>
    <t>PQR Insurer</t>
  </si>
  <si>
    <t>Summary of Input Parameters ($000)</t>
  </si>
  <si>
    <t>Calendar Year</t>
  </si>
  <si>
    <t>Ult on Claims</t>
  </si>
  <si>
    <t>Accident Year</t>
  </si>
  <si>
    <t>Reported</t>
  </si>
  <si>
    <t>Reported in</t>
  </si>
  <si>
    <t>Ultimate</t>
  </si>
  <si>
    <t>IBNR at</t>
  </si>
  <si>
    <t>12/31/08</t>
  </si>
  <si>
    <t>Note: Claims include allocated claim adjustment expenses.</t>
  </si>
  <si>
    <t>(2) through (4) Based on data from PQR Insurer. Reported claims represent paid claims, case outstanding, and estimated IBNR.</t>
  </si>
  <si>
    <t>(5) through (7) Based on actuarial analysis at year-end 2008.</t>
  </si>
  <si>
    <t>(8) Based on data from PQR Insurer. Includes paid claims, case outstanding, and estimated IBNR.</t>
  </si>
  <si>
    <t>17_4_1</t>
  </si>
  <si>
    <t>Classical and Kittel Techniques ($000)</t>
  </si>
  <si>
    <t>ULAE Ratio -</t>
  </si>
  <si>
    <t>Average of</t>
  </si>
  <si>
    <t>Avg Paid &amp;</t>
  </si>
  <si>
    <t>Paid and Rptd</t>
  </si>
  <si>
    <t>Rptd Claims</t>
  </si>
  <si>
    <t>Traditional</t>
  </si>
  <si>
    <t>Kittel</t>
  </si>
  <si>
    <t>(10) IBNR at 12/31/08</t>
  </si>
  <si>
    <t>(11) Estimated Unpaid ULAE at 12/31/08</t>
  </si>
  <si>
    <t>(2) through (4) From Exhibit IV, Sheet 1.</t>
  </si>
  <si>
    <t>(8) Selected based on ULAE ratios in (6) and (7).</t>
  </si>
  <si>
    <t>(9) Based on data from PQR Insurer.</t>
  </si>
  <si>
    <t>(11) = {[(8) x 50% x (9)] + [(8) x 100% x (10)]}.</t>
  </si>
  <si>
    <t>17_4_2</t>
  </si>
  <si>
    <t>Sheet 3</t>
  </si>
  <si>
    <t>Conger and Nolibos Generalized Approach - 60/40 Assumption ($000)</t>
  </si>
  <si>
    <t>Basis</t>
  </si>
  <si>
    <t>(8) Ultimate Claims</t>
  </si>
  <si>
    <t>(9) Indicated Unpaid ULAE Using:</t>
  </si>
  <si>
    <t>(a) Expected Claim Method</t>
  </si>
  <si>
    <t>(b) Bornhuetter-Ferguson Method</t>
  </si>
  <si>
    <t>(c) Development Method</t>
  </si>
  <si>
    <t>(5) = {[(3) x 60%] + [(4) x 40%]}.</t>
  </si>
  <si>
    <t>(6) = [(2) / (5)].</t>
  </si>
  <si>
    <t>(7) Selected based on ULAE ratios in (6).</t>
  </si>
  <si>
    <t>(8) From Exhibit IV, Sheet 1.</t>
  </si>
  <si>
    <t>(9a) = {[(7) x (8)] - (Total in (2))}.</t>
  </si>
  <si>
    <t>(9b) = {(7) x [(8) - (Total in (5))]}.</t>
  </si>
  <si>
    <t>(9c) = {{[(8) / (Total in (5))] - 1.00} x (Total in (2))}.</t>
  </si>
  <si>
    <t>17_4_3</t>
  </si>
  <si>
    <t>Sheet 4</t>
  </si>
  <si>
    <t>Conger and Nolibos Generalized Approach - 70/30 Assumption ($000)</t>
  </si>
  <si>
    <t>(5) = {[(3) x 70%] + [(4) x 30%]}.</t>
  </si>
  <si>
    <t>17_4_4</t>
  </si>
  <si>
    <t>Sheet 5</t>
  </si>
  <si>
    <t>Conger and Nolibos Simplified Generalized Approach - 60/40 Assumption ($000)</t>
  </si>
  <si>
    <t>Cal Year</t>
  </si>
  <si>
    <t>Acc Year</t>
  </si>
  <si>
    <t>(9) Estimated Pure IBNR Based on</t>
  </si>
  <si>
    <t>(10) Indicated Unpaid ULAE Using</t>
  </si>
  <si>
    <t>(9a) = [4% x (accident year 2008 ultimate claims in (3))].</t>
  </si>
  <si>
    <t>(9b) = [6% x (accident year 2008 ultimate claims in (3))].</t>
  </si>
  <si>
    <t>(10a) = {(7) x [60% x (9a)] + {40% x [(8) - (Total in (4))]}}.</t>
  </si>
  <si>
    <t>(10b) = {(7) x [60% x (9b)] + {40% x [(8) - (Total in (4))]}}.</t>
  </si>
  <si>
    <t>17_4_5</t>
  </si>
  <si>
    <t>Expected Payment % in Calendar Year</t>
  </si>
  <si>
    <t>(a) 4% of Latest Accident Year Ultimate Claims</t>
  </si>
  <si>
    <t>(b) 6% of Latest Accident Year Ultimate Claims</t>
  </si>
  <si>
    <t>(12) Estimated Unpaid ULAE at 12/31/08 Using Pure IBNR</t>
  </si>
  <si>
    <r>
      <rPr>
        <u/>
        <sz val="11"/>
        <color theme="1"/>
        <rFont val="Cambria"/>
        <family val="1"/>
      </rPr>
      <t>Note</t>
    </r>
    <r>
      <rPr>
        <sz val="11"/>
        <color theme="1"/>
        <rFont val="Cambria"/>
        <family val="1"/>
      </rPr>
      <t xml:space="preserve">: </t>
    </r>
  </si>
  <si>
    <t>While I tried to reproduce the exhibits as accurately as possible there are minor differences in values between these exhibits and the text due to rounding.</t>
  </si>
  <si>
    <t>Exhibits from Chapter 17 of Estimating Unpaid Claims Using Basic Techniques by Jacqueline Friedland.</t>
  </si>
  <si>
    <t>Reproduced with formulas and comments by James Bedford of BedfordSeminars.com.</t>
  </si>
  <si>
    <t>Understanding the more advanced functions used (e.g., index(), match(), logest(), etc.) are not needed for the exam- functions needed for the exam are basic and covered in the practice problems.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</si>
</sst>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u/>
      <sz val="11"/>
      <color theme="1"/>
      <name val="Cambria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sz val="10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3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indent="1"/>
    </xf>
    <xf numFmtId="165" fontId="5" fillId="0" borderId="0" xfId="0" applyNumberFormat="1" applyFont="1" applyAlignment="1">
      <alignment horizontal="right" indent="1"/>
    </xf>
    <xf numFmtId="0" fontId="5" fillId="0" borderId="0" xfId="0" applyFont="1" applyAlignment="1">
      <alignment horizontal="right" indent="1"/>
    </xf>
    <xf numFmtId="0" fontId="4" fillId="0" borderId="0" xfId="0" applyFont="1" applyAlignment="1">
      <alignment horizontal="right" indent="1"/>
    </xf>
    <xf numFmtId="49" fontId="5" fillId="0" borderId="0" xfId="0" applyNumberFormat="1" applyFont="1" applyAlignment="1">
      <alignment horizontal="left" indent="1"/>
    </xf>
    <xf numFmtId="49" fontId="6" fillId="0" borderId="0" xfId="0" applyNumberFormat="1" applyFont="1" applyAlignment="1"/>
    <xf numFmtId="1" fontId="5" fillId="0" borderId="0" xfId="0" applyNumberFormat="1" applyFont="1" applyAlignment="1"/>
    <xf numFmtId="49" fontId="3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1" fontId="5" fillId="0" borderId="0" xfId="0" applyNumberFormat="1" applyFont="1"/>
    <xf numFmtId="49" fontId="5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49" fontId="5" fillId="0" borderId="1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3" fontId="7" fillId="0" borderId="0" xfId="0" applyNumberFormat="1" applyFont="1" applyAlignment="1">
      <alignment horizontal="right" indent="1"/>
    </xf>
    <xf numFmtId="1" fontId="7" fillId="0" borderId="0" xfId="0" applyNumberFormat="1" applyFont="1" applyAlignment="1">
      <alignment horizontal="right" indent="1"/>
    </xf>
    <xf numFmtId="49" fontId="5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7" fillId="0" borderId="0" xfId="0" applyNumberFormat="1" applyFont="1" applyAlignment="1">
      <alignment horizontal="right" indent="2"/>
    </xf>
    <xf numFmtId="3" fontId="5" fillId="0" borderId="0" xfId="0" applyNumberFormat="1" applyFont="1" applyAlignment="1">
      <alignment horizontal="right" indent="2"/>
    </xf>
    <xf numFmtId="165" fontId="5" fillId="0" borderId="0" xfId="0" applyNumberFormat="1" applyFont="1" applyAlignment="1">
      <alignment horizontal="right" indent="2"/>
    </xf>
    <xf numFmtId="0" fontId="5" fillId="0" borderId="0" xfId="0" applyFont="1" applyAlignment="1">
      <alignment horizontal="right" indent="2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5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10</xdr:row>
      <xdr:rowOff>76200</xdr:rowOff>
    </xdr:from>
    <xdr:to>
      <xdr:col>9</xdr:col>
      <xdr:colOff>95250</xdr:colOff>
      <xdr:row>13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A4C05E-DA5B-498A-A653-9841167A4464}"/>
            </a:ext>
          </a:extLst>
        </xdr:cNvPr>
        <xdr:cNvSpPr txBox="1"/>
      </xdr:nvSpPr>
      <xdr:spPr>
        <a:xfrm>
          <a:off x="4219575" y="1695450"/>
          <a:ext cx="3209925" cy="511175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example illustrates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Classical Technique with and without the pure IBNR adjustment.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9</xdr:row>
      <xdr:rowOff>19050</xdr:rowOff>
    </xdr:from>
    <xdr:to>
      <xdr:col>11</xdr:col>
      <xdr:colOff>533401</xdr:colOff>
      <xdr:row>12</xdr:row>
      <xdr:rowOff>44450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AE3C96-0B70-422F-8071-C4FA10966BC6}"/>
            </a:ext>
          </a:extLst>
        </xdr:cNvPr>
        <xdr:cNvSpPr txBox="1"/>
      </xdr:nvSpPr>
      <xdr:spPr>
        <a:xfrm>
          <a:off x="6048376" y="1476375"/>
          <a:ext cx="2971800" cy="511175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example illustrates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Kittel Refinement with and without the pure IBNR adjustment.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23</xdr:row>
      <xdr:rowOff>47625</xdr:rowOff>
    </xdr:from>
    <xdr:to>
      <xdr:col>9</xdr:col>
      <xdr:colOff>476250</xdr:colOff>
      <xdr:row>26</xdr:row>
      <xdr:rowOff>73025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7481DC-2983-4F3A-A175-97A57A622046}"/>
            </a:ext>
          </a:extLst>
        </xdr:cNvPr>
        <xdr:cNvSpPr txBox="1"/>
      </xdr:nvSpPr>
      <xdr:spPr>
        <a:xfrm>
          <a:off x="2343150" y="3771900"/>
          <a:ext cx="3209925" cy="511175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Here we calculate the expected CY payments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needed for the Mango-Allen refinement. </a:t>
          </a: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12</xdr:col>
      <xdr:colOff>0</xdr:colOff>
      <xdr:row>13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BF9E78-B96E-4AC5-906E-4E3176392E3D}"/>
            </a:ext>
          </a:extLst>
        </xdr:cNvPr>
        <xdr:cNvSpPr txBox="1"/>
      </xdr:nvSpPr>
      <xdr:spPr>
        <a:xfrm>
          <a:off x="4495800" y="1619250"/>
          <a:ext cx="3209925" cy="511175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example illustrates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Mango-Allen refinement with and without the pure IBNR adjustment.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17</xdr:row>
      <xdr:rowOff>76200</xdr:rowOff>
    </xdr:from>
    <xdr:to>
      <xdr:col>9</xdr:col>
      <xdr:colOff>609600</xdr:colOff>
      <xdr:row>20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C1F0FF-BF79-41C6-99D2-39F4B02141D6}"/>
            </a:ext>
          </a:extLst>
        </xdr:cNvPr>
        <xdr:cNvSpPr txBox="1"/>
      </xdr:nvSpPr>
      <xdr:spPr>
        <a:xfrm>
          <a:off x="4486275" y="2828925"/>
          <a:ext cx="3209925" cy="511175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Sheet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provides the data needed for the methods on the following Sheets.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27</xdr:row>
      <xdr:rowOff>66675</xdr:rowOff>
    </xdr:from>
    <xdr:to>
      <xdr:col>8</xdr:col>
      <xdr:colOff>352425</xdr:colOff>
      <xdr:row>34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A38B4A7-EECA-4F6D-9C63-BAF3A9A83D8F}"/>
            </a:ext>
          </a:extLst>
        </xdr:cNvPr>
        <xdr:cNvSpPr txBox="1"/>
      </xdr:nvSpPr>
      <xdr:spPr>
        <a:xfrm>
          <a:off x="3533775" y="4438650"/>
          <a:ext cx="3524250" cy="106680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example illustrates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Classical Technique and Kittle Refinement.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Notice how they can be quickly and easily be calculated in the same exhibit using the data in Columns (2) - (5). This would make a good exam question.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28</xdr:row>
      <xdr:rowOff>142875</xdr:rowOff>
    </xdr:from>
    <xdr:to>
      <xdr:col>7</xdr:col>
      <xdr:colOff>581025</xdr:colOff>
      <xdr:row>32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7AF9C2-BCCF-4F1D-93E3-BACBD66A0CDD}"/>
            </a:ext>
          </a:extLst>
        </xdr:cNvPr>
        <xdr:cNvSpPr txBox="1"/>
      </xdr:nvSpPr>
      <xdr:spPr>
        <a:xfrm>
          <a:off x="2724150" y="4676775"/>
          <a:ext cx="3524250" cy="59055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example illustrates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generalized approach with U</a:t>
          </a:r>
          <a:r>
            <a:rPr lang="en-US" sz="105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0.60, U</a:t>
          </a:r>
          <a:r>
            <a:rPr lang="en-US" sz="105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0.40, and U</a:t>
          </a:r>
          <a:r>
            <a:rPr lang="en-US" sz="105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0.0.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28</xdr:row>
      <xdr:rowOff>104775</xdr:rowOff>
    </xdr:from>
    <xdr:to>
      <xdr:col>7</xdr:col>
      <xdr:colOff>600075</xdr:colOff>
      <xdr:row>32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9CC34E-8A75-4F01-BD8E-C65C05FAA3EB}"/>
            </a:ext>
          </a:extLst>
        </xdr:cNvPr>
        <xdr:cNvSpPr txBox="1"/>
      </xdr:nvSpPr>
      <xdr:spPr>
        <a:xfrm>
          <a:off x="2743200" y="4638675"/>
          <a:ext cx="3524250" cy="59055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example illustrates the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generalized approach with U</a:t>
          </a:r>
          <a:r>
            <a:rPr lang="en-US" sz="105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0.70, U</a:t>
          </a:r>
          <a:r>
            <a:rPr lang="en-US" sz="105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0.30, and U</a:t>
          </a:r>
          <a:r>
            <a:rPr lang="en-US" sz="105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0.0.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32</xdr:row>
      <xdr:rowOff>95250</xdr:rowOff>
    </xdr:from>
    <xdr:to>
      <xdr:col>8</xdr:col>
      <xdr:colOff>66675</xdr:colOff>
      <xdr:row>36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772592-AB1F-4676-A9B0-4735BA76E03E}"/>
            </a:ext>
          </a:extLst>
        </xdr:cNvPr>
        <xdr:cNvSpPr txBox="1"/>
      </xdr:nvSpPr>
      <xdr:spPr>
        <a:xfrm>
          <a:off x="2962275" y="5276850"/>
          <a:ext cx="3524250" cy="59055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example illustrates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simplification to the generalized approach with U</a:t>
          </a:r>
          <a:r>
            <a:rPr lang="en-US" sz="105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0.60, U</a:t>
          </a:r>
          <a:r>
            <a:rPr lang="en-US" sz="105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0.40 (U</a:t>
          </a:r>
          <a:r>
            <a:rPr lang="en-US" sz="1050" b="0" i="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always 0.0 in the simplification).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2:A7"/>
  <sheetViews>
    <sheetView showGridLines="0" workbookViewId="0">
      <selection activeCell="D5" sqref="D5"/>
    </sheetView>
  </sheetViews>
  <sheetFormatPr defaultColWidth="8.6640625" defaultRowHeight="13.8" x14ac:dyDescent="0.25"/>
  <cols>
    <col min="1" max="16384" width="8.6640625" style="1"/>
  </cols>
  <sheetData>
    <row r="2" spans="1:1" x14ac:dyDescent="0.25">
      <c r="A2" s="1" t="s">
        <v>168</v>
      </c>
    </row>
    <row r="3" spans="1:1" x14ac:dyDescent="0.25">
      <c r="A3" s="1" t="s">
        <v>169</v>
      </c>
    </row>
    <row r="5" spans="1:1" x14ac:dyDescent="0.25">
      <c r="A5" s="1" t="s">
        <v>166</v>
      </c>
    </row>
    <row r="6" spans="1:1" x14ac:dyDescent="0.25">
      <c r="A6" s="1" t="s">
        <v>167</v>
      </c>
    </row>
    <row r="7" spans="1:1" x14ac:dyDescent="0.25">
      <c r="A7" s="1" t="s">
        <v>170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G43"/>
  <sheetViews>
    <sheetView showGridLines="0" workbookViewId="0">
      <selection activeCell="C5" sqref="C5"/>
    </sheetView>
  </sheetViews>
  <sheetFormatPr defaultColWidth="9.5546875" defaultRowHeight="13.2" x14ac:dyDescent="0.25"/>
  <cols>
    <col min="1" max="3" width="12.88671875" style="4" customWidth="1"/>
    <col min="4" max="6" width="12.88671875" style="3" customWidth="1"/>
    <col min="7" max="16384" width="9.5546875" style="3"/>
  </cols>
  <sheetData>
    <row r="1" spans="1:7" x14ac:dyDescent="0.25">
      <c r="A1" s="2" t="s">
        <v>0</v>
      </c>
      <c r="B1" s="3"/>
      <c r="F1" s="5" t="s">
        <v>100</v>
      </c>
    </row>
    <row r="2" spans="1:7" x14ac:dyDescent="0.25">
      <c r="A2" s="2" t="s">
        <v>101</v>
      </c>
      <c r="F2" s="5" t="s">
        <v>151</v>
      </c>
    </row>
    <row r="3" spans="1:7" x14ac:dyDescent="0.25">
      <c r="A3" s="2" t="s">
        <v>152</v>
      </c>
      <c r="C3" s="3"/>
    </row>
    <row r="4" spans="1:7" x14ac:dyDescent="0.25">
      <c r="A4" s="6"/>
      <c r="C4" s="3"/>
    </row>
    <row r="5" spans="1:7" x14ac:dyDescent="0.25">
      <c r="A5" s="7"/>
      <c r="B5" s="8" t="s">
        <v>153</v>
      </c>
      <c r="C5" s="8" t="s">
        <v>154</v>
      </c>
      <c r="D5" s="8" t="s">
        <v>153</v>
      </c>
      <c r="E5" s="7"/>
      <c r="F5" s="7"/>
      <c r="G5" s="7"/>
    </row>
    <row r="6" spans="1:7" x14ac:dyDescent="0.25">
      <c r="A6" s="7"/>
      <c r="B6" s="8" t="s">
        <v>6</v>
      </c>
      <c r="C6" s="8" t="s">
        <v>108</v>
      </c>
      <c r="D6" s="8" t="s">
        <v>6</v>
      </c>
      <c r="E6" s="8" t="s">
        <v>10</v>
      </c>
      <c r="F6" s="8" t="s">
        <v>9</v>
      </c>
      <c r="G6" s="7"/>
    </row>
    <row r="7" spans="1:7" x14ac:dyDescent="0.25">
      <c r="A7" s="9" t="s">
        <v>8</v>
      </c>
      <c r="B7" s="9" t="s">
        <v>9</v>
      </c>
      <c r="C7" s="9" t="s">
        <v>10</v>
      </c>
      <c r="D7" s="9" t="s">
        <v>10</v>
      </c>
      <c r="E7" s="9" t="s">
        <v>133</v>
      </c>
      <c r="F7" s="9" t="s">
        <v>69</v>
      </c>
      <c r="G7" s="7"/>
    </row>
    <row r="8" spans="1:7" x14ac:dyDescent="0.25">
      <c r="A8" s="10">
        <v>-1</v>
      </c>
      <c r="B8" s="10">
        <v>-2</v>
      </c>
      <c r="C8" s="10">
        <v>-3</v>
      </c>
      <c r="D8" s="10">
        <v>-4</v>
      </c>
      <c r="E8" s="10">
        <v>-5</v>
      </c>
      <c r="F8" s="10">
        <v>-6</v>
      </c>
      <c r="G8" s="7"/>
    </row>
    <row r="9" spans="1:7" x14ac:dyDescent="0.25">
      <c r="A9" s="10"/>
      <c r="B9" s="10"/>
      <c r="C9" s="10"/>
      <c r="D9" s="10"/>
      <c r="E9" s="10"/>
      <c r="F9" s="10"/>
      <c r="G9" s="7"/>
    </row>
    <row r="10" spans="1:7" x14ac:dyDescent="0.25">
      <c r="A10" s="11">
        <v>2003</v>
      </c>
      <c r="B10" s="12">
        <f>+'17_4_2'!B11</f>
        <v>1978</v>
      </c>
      <c r="C10" s="12">
        <f>+'17_4_1'!F10</f>
        <v>28600</v>
      </c>
      <c r="D10" s="12">
        <f>+'17_4_1'!C10</f>
        <v>4590</v>
      </c>
      <c r="E10" s="12">
        <f>0.6*C10+0.4*D10</f>
        <v>18996</v>
      </c>
      <c r="F10" s="13">
        <f>+B10/E10</f>
        <v>0.10412718467045694</v>
      </c>
    </row>
    <row r="11" spans="1:7" x14ac:dyDescent="0.25">
      <c r="A11" s="11">
        <v>2004</v>
      </c>
      <c r="B11" s="12">
        <f>+'17_4_2'!B12</f>
        <v>4820</v>
      </c>
      <c r="C11" s="12">
        <f>+'17_4_1'!F11</f>
        <v>79200</v>
      </c>
      <c r="D11" s="12">
        <f>+'17_4_1'!C11</f>
        <v>14600</v>
      </c>
      <c r="E11" s="12">
        <f t="shared" ref="E11:E15" si="0">0.6*C11+0.4*D11</f>
        <v>53360</v>
      </c>
      <c r="F11" s="13">
        <f t="shared" ref="F11:F17" si="1">+B11/E11</f>
        <v>9.0329835082458773E-2</v>
      </c>
    </row>
    <row r="12" spans="1:7" x14ac:dyDescent="0.25">
      <c r="A12" s="11">
        <v>2005</v>
      </c>
      <c r="B12" s="12">
        <f>+'17_4_2'!B13</f>
        <v>8558</v>
      </c>
      <c r="C12" s="12">
        <f>+'17_4_1'!F12</f>
        <v>108400</v>
      </c>
      <c r="D12" s="12">
        <f>+'17_4_1'!C12</f>
        <v>38390</v>
      </c>
      <c r="E12" s="12">
        <f t="shared" si="0"/>
        <v>80396</v>
      </c>
      <c r="F12" s="13">
        <f t="shared" si="1"/>
        <v>0.10644808199412906</v>
      </c>
    </row>
    <row r="13" spans="1:7" x14ac:dyDescent="0.25">
      <c r="A13" s="11">
        <v>2006</v>
      </c>
      <c r="B13" s="12">
        <f>+'17_4_2'!B14</f>
        <v>12039</v>
      </c>
      <c r="C13" s="12">
        <f>+'17_4_1'!F13</f>
        <v>156700</v>
      </c>
      <c r="D13" s="12">
        <f>+'17_4_1'!C13</f>
        <v>58297</v>
      </c>
      <c r="E13" s="12">
        <f t="shared" si="0"/>
        <v>117338.8</v>
      </c>
      <c r="F13" s="13">
        <f t="shared" si="1"/>
        <v>0.1026003333935578</v>
      </c>
    </row>
    <row r="14" spans="1:7" x14ac:dyDescent="0.25">
      <c r="A14" s="11">
        <v>2007</v>
      </c>
      <c r="B14" s="12">
        <f>+'17_4_2'!B15</f>
        <v>13143</v>
      </c>
      <c r="C14" s="12">
        <f>+'17_4_1'!F14</f>
        <v>163400</v>
      </c>
      <c r="D14" s="12">
        <f>+'17_4_1'!C14</f>
        <v>86074</v>
      </c>
      <c r="E14" s="12">
        <f t="shared" si="0"/>
        <v>132469.6</v>
      </c>
      <c r="F14" s="13">
        <f t="shared" si="1"/>
        <v>9.9215216170351533E-2</v>
      </c>
    </row>
    <row r="15" spans="1:7" x14ac:dyDescent="0.25">
      <c r="A15" s="11">
        <v>2008</v>
      </c>
      <c r="B15" s="12">
        <f>+'17_4_2'!B16</f>
        <v>15286</v>
      </c>
      <c r="C15" s="12">
        <f>+'17_4_1'!F15</f>
        <v>177100</v>
      </c>
      <c r="D15" s="12">
        <f>+'17_4_1'!C15</f>
        <v>105466</v>
      </c>
      <c r="E15" s="12">
        <f t="shared" si="0"/>
        <v>148446.39999999999</v>
      </c>
      <c r="F15" s="13">
        <f t="shared" si="1"/>
        <v>0.10297319436510417</v>
      </c>
    </row>
    <row r="16" spans="1:7" x14ac:dyDescent="0.25">
      <c r="A16" s="11"/>
      <c r="B16" s="12"/>
      <c r="C16" s="12"/>
      <c r="D16" s="12"/>
      <c r="E16" s="12"/>
      <c r="F16" s="14"/>
    </row>
    <row r="17" spans="1:7" x14ac:dyDescent="0.25">
      <c r="A17" s="8" t="s">
        <v>12</v>
      </c>
      <c r="B17" s="12">
        <f>SUM(B10:B15)</f>
        <v>55824</v>
      </c>
      <c r="C17" s="12">
        <f t="shared" ref="C17:E17" si="2">SUM(C10:C15)</f>
        <v>713400</v>
      </c>
      <c r="D17" s="12">
        <f t="shared" si="2"/>
        <v>307417</v>
      </c>
      <c r="E17" s="12">
        <f t="shared" si="2"/>
        <v>551006.80000000005</v>
      </c>
      <c r="F17" s="13">
        <f t="shared" si="1"/>
        <v>0.10131272427127941</v>
      </c>
    </row>
    <row r="18" spans="1:7" x14ac:dyDescent="0.25">
      <c r="A18" s="8"/>
      <c r="B18" s="12"/>
      <c r="C18" s="12"/>
      <c r="D18" s="12"/>
      <c r="E18" s="12"/>
      <c r="F18" s="14"/>
    </row>
    <row r="19" spans="1:7" x14ac:dyDescent="0.25">
      <c r="A19" s="6" t="s">
        <v>84</v>
      </c>
      <c r="F19" s="13">
        <v>0.1</v>
      </c>
    </row>
    <row r="20" spans="1:7" x14ac:dyDescent="0.25">
      <c r="A20" s="6"/>
      <c r="F20" s="13"/>
    </row>
    <row r="21" spans="1:7" x14ac:dyDescent="0.25">
      <c r="A21" s="6" t="s">
        <v>134</v>
      </c>
      <c r="F21" s="12">
        <f>+'17_4_1'!F17</f>
        <v>713400</v>
      </c>
    </row>
    <row r="22" spans="1:7" x14ac:dyDescent="0.25">
      <c r="A22" s="6"/>
      <c r="F22" s="12"/>
    </row>
    <row r="23" spans="1:7" x14ac:dyDescent="0.25">
      <c r="A23" s="6" t="s">
        <v>155</v>
      </c>
      <c r="B23" s="3"/>
      <c r="F23" s="15"/>
    </row>
    <row r="24" spans="1:7" x14ac:dyDescent="0.25">
      <c r="A24" s="16" t="s">
        <v>163</v>
      </c>
      <c r="C24" s="3"/>
      <c r="F24" s="12">
        <f>0.04*C15</f>
        <v>7084</v>
      </c>
      <c r="G24" s="12"/>
    </row>
    <row r="25" spans="1:7" x14ac:dyDescent="0.25">
      <c r="A25" s="16" t="s">
        <v>164</v>
      </c>
      <c r="C25" s="3"/>
      <c r="F25" s="12">
        <f>0.06*C15</f>
        <v>10626</v>
      </c>
      <c r="G25" s="12"/>
    </row>
    <row r="26" spans="1:7" x14ac:dyDescent="0.25">
      <c r="A26" s="16"/>
      <c r="C26" s="3"/>
      <c r="F26" s="12"/>
      <c r="G26" s="12"/>
    </row>
    <row r="27" spans="1:7" x14ac:dyDescent="0.25">
      <c r="A27" s="6" t="s">
        <v>156</v>
      </c>
      <c r="B27" s="3"/>
      <c r="C27" s="3"/>
      <c r="F27" s="15"/>
      <c r="G27" s="15"/>
    </row>
    <row r="28" spans="1:7" x14ac:dyDescent="0.25">
      <c r="A28" s="16" t="s">
        <v>163</v>
      </c>
      <c r="C28" s="3"/>
      <c r="F28" s="12">
        <f>+$F$19*(0.6*F24+0.4*($F$21-$D$17))</f>
        <v>16664.36</v>
      </c>
      <c r="G28" s="12"/>
    </row>
    <row r="29" spans="1:7" x14ac:dyDescent="0.25">
      <c r="A29" s="16" t="s">
        <v>164</v>
      </c>
      <c r="C29" s="3"/>
      <c r="F29" s="12">
        <f>+$F$19*(0.6*F25+0.4*($F$21-$D$17))</f>
        <v>16876.88</v>
      </c>
      <c r="G29" s="12"/>
    </row>
    <row r="30" spans="1:7" x14ac:dyDescent="0.25">
      <c r="F30" s="15"/>
    </row>
    <row r="31" spans="1:7" x14ac:dyDescent="0.25">
      <c r="A31" s="17" t="s">
        <v>21</v>
      </c>
    </row>
    <row r="32" spans="1:7" x14ac:dyDescent="0.25">
      <c r="A32" s="6" t="s">
        <v>126</v>
      </c>
    </row>
    <row r="33" spans="1:6" x14ac:dyDescent="0.25">
      <c r="A33" s="6" t="s">
        <v>139</v>
      </c>
    </row>
    <row r="34" spans="1:6" x14ac:dyDescent="0.25">
      <c r="A34" s="6" t="s">
        <v>140</v>
      </c>
    </row>
    <row r="35" spans="1:6" x14ac:dyDescent="0.25">
      <c r="A35" s="6" t="s">
        <v>141</v>
      </c>
    </row>
    <row r="36" spans="1:6" x14ac:dyDescent="0.25">
      <c r="A36" s="6" t="s">
        <v>142</v>
      </c>
    </row>
    <row r="37" spans="1:6" x14ac:dyDescent="0.25">
      <c r="A37" s="6" t="s">
        <v>157</v>
      </c>
    </row>
    <row r="38" spans="1:6" x14ac:dyDescent="0.25">
      <c r="A38" s="6" t="s">
        <v>158</v>
      </c>
    </row>
    <row r="39" spans="1:6" x14ac:dyDescent="0.25">
      <c r="A39" s="6" t="s">
        <v>159</v>
      </c>
    </row>
    <row r="40" spans="1:6" x14ac:dyDescent="0.25">
      <c r="A40" s="6" t="s">
        <v>160</v>
      </c>
    </row>
    <row r="42" spans="1:6" x14ac:dyDescent="0.25">
      <c r="A42" s="6" t="s">
        <v>161</v>
      </c>
      <c r="F42" s="18">
        <v>417</v>
      </c>
    </row>
    <row r="43" spans="1:6" x14ac:dyDescent="0.25">
      <c r="A43" s="6"/>
      <c r="B43" s="3"/>
      <c r="C43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66"/>
  </sheetPr>
  <dimension ref="A1:E45"/>
  <sheetViews>
    <sheetView showGridLines="0" tabSelected="1" workbookViewId="0">
      <selection activeCell="C5" sqref="C5"/>
    </sheetView>
  </sheetViews>
  <sheetFormatPr defaultColWidth="9.5546875" defaultRowHeight="13.2" x14ac:dyDescent="0.25"/>
  <cols>
    <col min="1" max="4" width="14.88671875" style="3" customWidth="1"/>
    <col min="5" max="5" width="12.33203125" style="3" bestFit="1" customWidth="1"/>
    <col min="6" max="16384" width="9.5546875" style="3"/>
  </cols>
  <sheetData>
    <row r="1" spans="1:5" x14ac:dyDescent="0.25">
      <c r="A1" s="19" t="s">
        <v>0</v>
      </c>
      <c r="D1" s="5" t="s">
        <v>1</v>
      </c>
    </row>
    <row r="2" spans="1:5" x14ac:dyDescent="0.25">
      <c r="A2" s="19" t="s">
        <v>2</v>
      </c>
    </row>
    <row r="3" spans="1:5" x14ac:dyDescent="0.25">
      <c r="A3" s="19" t="s">
        <v>3</v>
      </c>
    </row>
    <row r="4" spans="1:5" x14ac:dyDescent="0.25">
      <c r="A4" s="20"/>
    </row>
    <row r="5" spans="1:5" x14ac:dyDescent="0.25">
      <c r="A5" s="7"/>
      <c r="B5" s="7"/>
      <c r="C5" s="7"/>
      <c r="D5" s="8" t="s">
        <v>4</v>
      </c>
      <c r="E5" s="7"/>
    </row>
    <row r="6" spans="1:5" x14ac:dyDescent="0.25">
      <c r="A6" s="8" t="s">
        <v>5</v>
      </c>
      <c r="B6" s="8" t="s">
        <v>6</v>
      </c>
      <c r="C6" s="8" t="s">
        <v>6</v>
      </c>
      <c r="D6" s="8" t="s">
        <v>7</v>
      </c>
      <c r="E6" s="7"/>
    </row>
    <row r="7" spans="1:5" x14ac:dyDescent="0.25">
      <c r="A7" s="9" t="s">
        <v>8</v>
      </c>
      <c r="B7" s="9" t="s">
        <v>9</v>
      </c>
      <c r="C7" s="9" t="s">
        <v>10</v>
      </c>
      <c r="D7" s="9" t="s">
        <v>11</v>
      </c>
      <c r="E7" s="7"/>
    </row>
    <row r="8" spans="1:5" x14ac:dyDescent="0.25">
      <c r="A8" s="10">
        <v>-1</v>
      </c>
      <c r="B8" s="10">
        <v>-2</v>
      </c>
      <c r="C8" s="10">
        <v>-3</v>
      </c>
      <c r="D8" s="10">
        <v>-4</v>
      </c>
    </row>
    <row r="9" spans="1:5" x14ac:dyDescent="0.25">
      <c r="A9" s="10"/>
      <c r="B9" s="10"/>
      <c r="C9" s="10"/>
      <c r="D9" s="10"/>
    </row>
    <row r="10" spans="1:5" x14ac:dyDescent="0.25">
      <c r="A10" s="11">
        <v>2004</v>
      </c>
      <c r="B10" s="40">
        <v>14352000</v>
      </c>
      <c r="C10" s="40">
        <v>333000000</v>
      </c>
      <c r="D10" s="33">
        <f>B10/C10</f>
        <v>4.3099099099099099E-2</v>
      </c>
    </row>
    <row r="11" spans="1:5" x14ac:dyDescent="0.25">
      <c r="A11" s="11">
        <v>2005</v>
      </c>
      <c r="B11" s="40">
        <v>15321000</v>
      </c>
      <c r="C11" s="40">
        <v>358000000</v>
      </c>
      <c r="D11" s="33">
        <f t="shared" ref="D11:D16" si="0">B11/C11</f>
        <v>4.2796089385474863E-2</v>
      </c>
    </row>
    <row r="12" spans="1:5" x14ac:dyDescent="0.25">
      <c r="A12" s="11">
        <v>2006</v>
      </c>
      <c r="B12" s="40">
        <v>16870000</v>
      </c>
      <c r="C12" s="40">
        <v>334000000</v>
      </c>
      <c r="D12" s="33">
        <f t="shared" si="0"/>
        <v>5.0508982035928143E-2</v>
      </c>
    </row>
    <row r="13" spans="1:5" x14ac:dyDescent="0.25">
      <c r="A13" s="11">
        <v>2007</v>
      </c>
      <c r="B13" s="40">
        <v>17112000</v>
      </c>
      <c r="C13" s="40">
        <v>347000000</v>
      </c>
      <c r="D13" s="33">
        <f t="shared" si="0"/>
        <v>4.9314121037463979E-2</v>
      </c>
    </row>
    <row r="14" spans="1:5" x14ac:dyDescent="0.25">
      <c r="A14" s="11">
        <v>2008</v>
      </c>
      <c r="B14" s="40">
        <v>17331000</v>
      </c>
      <c r="C14" s="40">
        <v>391000000</v>
      </c>
      <c r="D14" s="33">
        <f t="shared" si="0"/>
        <v>4.4324808184143222E-2</v>
      </c>
    </row>
    <row r="15" spans="1:5" x14ac:dyDescent="0.25">
      <c r="A15" s="11"/>
      <c r="B15" s="42"/>
      <c r="C15" s="42"/>
      <c r="D15" s="34"/>
    </row>
    <row r="16" spans="1:5" x14ac:dyDescent="0.25">
      <c r="A16" s="8" t="s">
        <v>12</v>
      </c>
      <c r="B16" s="42">
        <f>SUM(B10:B14)</f>
        <v>80986000</v>
      </c>
      <c r="C16" s="42">
        <f>SUM(C10:C14)</f>
        <v>1763000000</v>
      </c>
      <c r="D16" s="33">
        <f t="shared" si="0"/>
        <v>4.5936471922858761E-2</v>
      </c>
    </row>
    <row r="17" spans="1:5" x14ac:dyDescent="0.25">
      <c r="A17" s="8"/>
      <c r="B17" s="42"/>
      <c r="C17" s="42"/>
      <c r="D17" s="34"/>
    </row>
    <row r="18" spans="1:5" x14ac:dyDescent="0.25">
      <c r="A18" s="20" t="s">
        <v>13</v>
      </c>
      <c r="D18" s="34">
        <v>4.4999999999999998E-2</v>
      </c>
    </row>
    <row r="19" spans="1:5" x14ac:dyDescent="0.25">
      <c r="A19" s="20"/>
      <c r="D19" s="34"/>
    </row>
    <row r="20" spans="1:5" x14ac:dyDescent="0.25">
      <c r="A20" s="20" t="s">
        <v>14</v>
      </c>
      <c r="D20" s="31">
        <v>603000000</v>
      </c>
    </row>
    <row r="21" spans="1:5" x14ac:dyDescent="0.25">
      <c r="A21" s="20"/>
      <c r="D21" s="31"/>
    </row>
    <row r="22" spans="1:5" x14ac:dyDescent="0.25">
      <c r="A22" s="20" t="s">
        <v>15</v>
      </c>
      <c r="D22" s="31">
        <v>316000000</v>
      </c>
    </row>
    <row r="23" spans="1:5" x14ac:dyDescent="0.25">
      <c r="A23" s="20"/>
      <c r="D23" s="31"/>
    </row>
    <row r="24" spans="1:5" x14ac:dyDescent="0.25">
      <c r="A24" s="20" t="s">
        <v>16</v>
      </c>
      <c r="D24" s="31">
        <f>380000000*0.05</f>
        <v>19000000</v>
      </c>
    </row>
    <row r="25" spans="1:5" x14ac:dyDescent="0.25">
      <c r="A25" s="20"/>
      <c r="D25" s="31"/>
    </row>
    <row r="26" spans="1:5" x14ac:dyDescent="0.25">
      <c r="A26" s="20" t="s">
        <v>17</v>
      </c>
      <c r="D26" s="32">
        <f>$D$18*(0.5*D20+D22)</f>
        <v>27787500</v>
      </c>
      <c r="E26" s="32"/>
    </row>
    <row r="27" spans="1:5" x14ac:dyDescent="0.25">
      <c r="A27" s="20" t="s">
        <v>18</v>
      </c>
      <c r="D27" s="47"/>
      <c r="E27" s="47"/>
    </row>
    <row r="28" spans="1:5" x14ac:dyDescent="0.25">
      <c r="A28" s="20"/>
      <c r="D28" s="47"/>
      <c r="E28" s="47"/>
    </row>
    <row r="29" spans="1:5" x14ac:dyDescent="0.25">
      <c r="A29" s="20" t="s">
        <v>19</v>
      </c>
      <c r="D29" s="32">
        <f>$D$18*(0.5*(D20+D22-D24)+D24)</f>
        <v>21105000</v>
      </c>
      <c r="E29" s="32"/>
    </row>
    <row r="30" spans="1:5" x14ac:dyDescent="0.25">
      <c r="A30" s="20" t="s">
        <v>20</v>
      </c>
    </row>
    <row r="32" spans="1:5" x14ac:dyDescent="0.25">
      <c r="A32" s="21" t="s">
        <v>21</v>
      </c>
    </row>
    <row r="33" spans="1:4" x14ac:dyDescent="0.25">
      <c r="A33" s="20" t="s">
        <v>22</v>
      </c>
    </row>
    <row r="34" spans="1:4" x14ac:dyDescent="0.25">
      <c r="A34" s="20" t="s">
        <v>23</v>
      </c>
    </row>
    <row r="35" spans="1:4" x14ac:dyDescent="0.25">
      <c r="A35" s="20" t="s">
        <v>24</v>
      </c>
    </row>
    <row r="36" spans="1:4" x14ac:dyDescent="0.25">
      <c r="A36" s="20" t="s">
        <v>25</v>
      </c>
    </row>
    <row r="37" spans="1:4" x14ac:dyDescent="0.25">
      <c r="A37" s="20" t="s">
        <v>26</v>
      </c>
    </row>
    <row r="38" spans="1:4" x14ac:dyDescent="0.25">
      <c r="A38" s="20" t="s">
        <v>27</v>
      </c>
    </row>
    <row r="39" spans="1:4" x14ac:dyDescent="0.25">
      <c r="A39" s="20" t="s">
        <v>28</v>
      </c>
    </row>
    <row r="40" spans="1:4" x14ac:dyDescent="0.25">
      <c r="A40" s="20" t="s">
        <v>29</v>
      </c>
    </row>
    <row r="41" spans="1:4" x14ac:dyDescent="0.25">
      <c r="A41" s="20" t="s">
        <v>30</v>
      </c>
    </row>
    <row r="42" spans="1:4" x14ac:dyDescent="0.25">
      <c r="A42" s="20" t="s">
        <v>31</v>
      </c>
    </row>
    <row r="44" spans="1:4" x14ac:dyDescent="0.25">
      <c r="A44" s="20" t="s">
        <v>32</v>
      </c>
      <c r="D44" s="22">
        <v>409</v>
      </c>
    </row>
    <row r="45" spans="1:4" x14ac:dyDescent="0.25">
      <c r="A45" s="20"/>
      <c r="C45" s="2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H44"/>
  <sheetViews>
    <sheetView showGridLines="0" workbookViewId="0">
      <selection activeCell="C5" sqref="C5"/>
    </sheetView>
  </sheetViews>
  <sheetFormatPr defaultColWidth="9.5546875" defaultRowHeight="13.2" x14ac:dyDescent="0.25"/>
  <cols>
    <col min="1" max="2" width="11.88671875" style="3" customWidth="1"/>
    <col min="3" max="5" width="13.44140625" style="3" bestFit="1" customWidth="1"/>
    <col min="6" max="6" width="11.88671875" style="3" customWidth="1"/>
    <col min="7" max="7" width="12.6640625" style="3" customWidth="1"/>
    <col min="8" max="8" width="10.88671875" style="3" bestFit="1" customWidth="1"/>
    <col min="9" max="16384" width="9.5546875" style="3"/>
  </cols>
  <sheetData>
    <row r="1" spans="1:8" x14ac:dyDescent="0.25">
      <c r="A1" s="19" t="s">
        <v>0</v>
      </c>
      <c r="G1" s="5" t="s">
        <v>33</v>
      </c>
    </row>
    <row r="2" spans="1:8" x14ac:dyDescent="0.25">
      <c r="A2" s="19" t="s">
        <v>34</v>
      </c>
    </row>
    <row r="3" spans="1:8" x14ac:dyDescent="0.25">
      <c r="A3" s="19" t="s">
        <v>3</v>
      </c>
      <c r="E3" s="7"/>
      <c r="F3" s="7"/>
      <c r="G3" s="7"/>
      <c r="H3" s="7"/>
    </row>
    <row r="4" spans="1:8" x14ac:dyDescent="0.25">
      <c r="A4" s="20"/>
      <c r="E4" s="7"/>
      <c r="F4" s="7"/>
      <c r="G4" s="7"/>
      <c r="H4" s="7"/>
    </row>
    <row r="5" spans="1:8" x14ac:dyDescent="0.25">
      <c r="E5" s="8" t="s">
        <v>35</v>
      </c>
      <c r="F5" s="25" t="s">
        <v>36</v>
      </c>
      <c r="G5" s="26"/>
      <c r="H5" s="7"/>
    </row>
    <row r="6" spans="1:8" x14ac:dyDescent="0.25">
      <c r="A6" s="46" t="s">
        <v>5</v>
      </c>
      <c r="B6" s="46" t="s">
        <v>6</v>
      </c>
      <c r="C6" s="46" t="s">
        <v>6</v>
      </c>
      <c r="D6" s="46" t="s">
        <v>37</v>
      </c>
      <c r="E6" s="46" t="s">
        <v>38</v>
      </c>
      <c r="F6" s="46" t="s">
        <v>6</v>
      </c>
      <c r="G6" s="46" t="s">
        <v>39</v>
      </c>
      <c r="H6" s="7"/>
    </row>
    <row r="7" spans="1:8" x14ac:dyDescent="0.25">
      <c r="A7" s="9" t="s">
        <v>8</v>
      </c>
      <c r="B7" s="9" t="s">
        <v>9</v>
      </c>
      <c r="C7" s="9" t="s">
        <v>10</v>
      </c>
      <c r="D7" s="9" t="s">
        <v>10</v>
      </c>
      <c r="E7" s="9" t="s">
        <v>10</v>
      </c>
      <c r="F7" s="9" t="s">
        <v>10</v>
      </c>
      <c r="G7" s="9" t="s">
        <v>40</v>
      </c>
      <c r="H7" s="7"/>
    </row>
    <row r="8" spans="1:8" x14ac:dyDescent="0.25">
      <c r="A8" s="10">
        <v>-1</v>
      </c>
      <c r="B8" s="10">
        <v>-2</v>
      </c>
      <c r="C8" s="10">
        <v>-3</v>
      </c>
      <c r="D8" s="10">
        <v>-4</v>
      </c>
      <c r="E8" s="10">
        <v>-5</v>
      </c>
      <c r="F8" s="10">
        <v>-6</v>
      </c>
      <c r="G8" s="10">
        <v>-7</v>
      </c>
      <c r="H8" s="7"/>
    </row>
    <row r="9" spans="1:8" x14ac:dyDescent="0.25">
      <c r="A9" s="10"/>
      <c r="B9" s="10"/>
      <c r="C9" s="10"/>
      <c r="D9" s="10"/>
      <c r="E9" s="10"/>
      <c r="F9" s="10"/>
      <c r="G9" s="10"/>
      <c r="H9" s="7"/>
    </row>
    <row r="10" spans="1:8" x14ac:dyDescent="0.25">
      <c r="A10" s="11">
        <v>2004</v>
      </c>
      <c r="B10" s="27">
        <v>14352000</v>
      </c>
      <c r="C10" s="27">
        <v>333000000</v>
      </c>
      <c r="D10" s="27">
        <v>535213000</v>
      </c>
      <c r="E10" s="12">
        <f>AVERAGE(C10:D10)</f>
        <v>434106500</v>
      </c>
      <c r="F10" s="13">
        <f>B10/C10</f>
        <v>4.3099099099099099E-2</v>
      </c>
      <c r="G10" s="13">
        <f>B10/E10</f>
        <v>3.3061011525973467E-2</v>
      </c>
    </row>
    <row r="11" spans="1:8" x14ac:dyDescent="0.25">
      <c r="A11" s="11">
        <v>2005</v>
      </c>
      <c r="B11" s="27">
        <v>15321000</v>
      </c>
      <c r="C11" s="27">
        <v>358000000</v>
      </c>
      <c r="D11" s="27">
        <v>492265000</v>
      </c>
      <c r="E11" s="12">
        <f t="shared" ref="E11:E14" si="0">AVERAGE(C11:D11)</f>
        <v>425132500</v>
      </c>
      <c r="F11" s="13">
        <f t="shared" ref="F11:F16" si="1">B11/C11</f>
        <v>4.2796089385474863E-2</v>
      </c>
      <c r="G11" s="13">
        <f t="shared" ref="G11:G16" si="2">B11/E11</f>
        <v>3.6038176333260806E-2</v>
      </c>
    </row>
    <row r="12" spans="1:8" x14ac:dyDescent="0.25">
      <c r="A12" s="11">
        <v>2006</v>
      </c>
      <c r="B12" s="27">
        <v>16870000</v>
      </c>
      <c r="C12" s="27">
        <v>334000000</v>
      </c>
      <c r="D12" s="27">
        <v>435985000</v>
      </c>
      <c r="E12" s="12">
        <f t="shared" si="0"/>
        <v>384992500</v>
      </c>
      <c r="F12" s="13">
        <f t="shared" si="1"/>
        <v>5.0508982035928143E-2</v>
      </c>
      <c r="G12" s="13">
        <f t="shared" si="2"/>
        <v>4.3819035435755244E-2</v>
      </c>
    </row>
    <row r="13" spans="1:8" x14ac:dyDescent="0.25">
      <c r="A13" s="11">
        <v>2007</v>
      </c>
      <c r="B13" s="27">
        <v>17112000</v>
      </c>
      <c r="C13" s="27">
        <v>347000000</v>
      </c>
      <c r="D13" s="27">
        <v>432966000</v>
      </c>
      <c r="E13" s="12">
        <f t="shared" si="0"/>
        <v>389983000</v>
      </c>
      <c r="F13" s="13">
        <f t="shared" si="1"/>
        <v>4.9314121037463979E-2</v>
      </c>
      <c r="G13" s="13">
        <f t="shared" si="2"/>
        <v>4.3878835744122179E-2</v>
      </c>
    </row>
    <row r="14" spans="1:8" x14ac:dyDescent="0.25">
      <c r="A14" s="11">
        <v>2008</v>
      </c>
      <c r="B14" s="27">
        <v>17331000</v>
      </c>
      <c r="C14" s="27">
        <v>391000000</v>
      </c>
      <c r="D14" s="27">
        <v>475300000</v>
      </c>
      <c r="E14" s="12">
        <f t="shared" si="0"/>
        <v>433150000</v>
      </c>
      <c r="F14" s="13">
        <f t="shared" si="1"/>
        <v>4.4324808184143222E-2</v>
      </c>
      <c r="G14" s="13">
        <f t="shared" si="2"/>
        <v>4.0011543345261455E-2</v>
      </c>
    </row>
    <row r="15" spans="1:8" x14ac:dyDescent="0.25">
      <c r="A15" s="11"/>
      <c r="B15" s="27"/>
      <c r="C15" s="27"/>
      <c r="D15" s="27"/>
      <c r="E15" s="12"/>
      <c r="F15" s="14"/>
      <c r="G15" s="13"/>
    </row>
    <row r="16" spans="1:8" x14ac:dyDescent="0.25">
      <c r="A16" s="8" t="s">
        <v>12</v>
      </c>
      <c r="B16" s="12">
        <f>SUM(B10:B14)</f>
        <v>80986000</v>
      </c>
      <c r="C16" s="12">
        <f t="shared" ref="C16:E16" si="3">SUM(C10:C14)</f>
        <v>1763000000</v>
      </c>
      <c r="D16" s="12">
        <f t="shared" si="3"/>
        <v>2371729000</v>
      </c>
      <c r="E16" s="12">
        <f t="shared" si="3"/>
        <v>2067364500</v>
      </c>
      <c r="F16" s="13">
        <f t="shared" si="1"/>
        <v>4.5936471922858761E-2</v>
      </c>
      <c r="G16" s="13">
        <f t="shared" si="2"/>
        <v>3.9173546803188311E-2</v>
      </c>
    </row>
    <row r="17" spans="1:8" x14ac:dyDescent="0.25">
      <c r="A17" s="20"/>
      <c r="B17" s="12"/>
      <c r="C17" s="12"/>
      <c r="D17" s="12"/>
      <c r="E17" s="12"/>
      <c r="F17" s="14"/>
      <c r="G17" s="14"/>
    </row>
    <row r="18" spans="1:8" x14ac:dyDescent="0.25">
      <c r="A18" s="20" t="s">
        <v>41</v>
      </c>
      <c r="G18" s="13">
        <v>0.04</v>
      </c>
    </row>
    <row r="19" spans="1:8" x14ac:dyDescent="0.25">
      <c r="A19" s="20"/>
      <c r="G19" s="13"/>
    </row>
    <row r="20" spans="1:8" x14ac:dyDescent="0.25">
      <c r="A20" s="20" t="s">
        <v>42</v>
      </c>
      <c r="G20" s="27">
        <v>603000000</v>
      </c>
    </row>
    <row r="21" spans="1:8" x14ac:dyDescent="0.25">
      <c r="A21" s="20"/>
      <c r="G21" s="12"/>
    </row>
    <row r="22" spans="1:8" x14ac:dyDescent="0.25">
      <c r="A22" s="20" t="s">
        <v>43</v>
      </c>
      <c r="G22" s="27">
        <v>316000000</v>
      </c>
    </row>
    <row r="23" spans="1:8" x14ac:dyDescent="0.25">
      <c r="A23" s="20"/>
      <c r="G23" s="27"/>
    </row>
    <row r="24" spans="1:8" x14ac:dyDescent="0.25">
      <c r="A24" s="20" t="s">
        <v>44</v>
      </c>
      <c r="G24" s="27">
        <f>380000000*0.05</f>
        <v>19000000</v>
      </c>
    </row>
    <row r="25" spans="1:8" x14ac:dyDescent="0.25">
      <c r="A25" s="20"/>
      <c r="G25" s="12"/>
    </row>
    <row r="26" spans="1:8" x14ac:dyDescent="0.25">
      <c r="A26" s="20" t="s">
        <v>45</v>
      </c>
      <c r="G26" s="12">
        <f>$G$18*(0.5*G20+G22)</f>
        <v>24700000</v>
      </c>
      <c r="H26" s="12"/>
    </row>
    <row r="27" spans="1:8" x14ac:dyDescent="0.25">
      <c r="A27" s="20"/>
      <c r="G27" s="15"/>
      <c r="H27" s="15"/>
    </row>
    <row r="28" spans="1:8" x14ac:dyDescent="0.25">
      <c r="A28" s="20" t="s">
        <v>46</v>
      </c>
      <c r="G28" s="12">
        <f>$G$18*(0.5*(G20+G22-G24)+G24)</f>
        <v>18760000</v>
      </c>
      <c r="H28" s="12"/>
    </row>
    <row r="29" spans="1:8" x14ac:dyDescent="0.25">
      <c r="G29" s="32"/>
    </row>
    <row r="30" spans="1:8" x14ac:dyDescent="0.25">
      <c r="A30" s="21" t="s">
        <v>21</v>
      </c>
    </row>
    <row r="31" spans="1:8" x14ac:dyDescent="0.25">
      <c r="A31" s="20" t="s">
        <v>47</v>
      </c>
    </row>
    <row r="32" spans="1:8" x14ac:dyDescent="0.25">
      <c r="A32" s="20" t="s">
        <v>48</v>
      </c>
    </row>
    <row r="33" spans="1:7" x14ac:dyDescent="0.25">
      <c r="A33" s="20" t="s">
        <v>49</v>
      </c>
    </row>
    <row r="34" spans="1:7" x14ac:dyDescent="0.25">
      <c r="A34" s="20" t="s">
        <v>50</v>
      </c>
    </row>
    <row r="35" spans="1:7" x14ac:dyDescent="0.25">
      <c r="A35" s="20" t="s">
        <v>51</v>
      </c>
    </row>
    <row r="36" spans="1:7" x14ac:dyDescent="0.25">
      <c r="A36" s="20" t="s">
        <v>52</v>
      </c>
    </row>
    <row r="37" spans="1:7" x14ac:dyDescent="0.25">
      <c r="A37" s="20" t="s">
        <v>53</v>
      </c>
    </row>
    <row r="38" spans="1:7" x14ac:dyDescent="0.25">
      <c r="A38" s="20" t="s">
        <v>54</v>
      </c>
    </row>
    <row r="39" spans="1:7" x14ac:dyDescent="0.25">
      <c r="A39" s="20" t="s">
        <v>55</v>
      </c>
    </row>
    <row r="40" spans="1:7" x14ac:dyDescent="0.25">
      <c r="A40" s="20" t="s">
        <v>56</v>
      </c>
    </row>
    <row r="41" spans="1:7" x14ac:dyDescent="0.25">
      <c r="A41" s="20" t="s">
        <v>57</v>
      </c>
    </row>
    <row r="44" spans="1:7" x14ac:dyDescent="0.25">
      <c r="A44" s="20" t="s">
        <v>58</v>
      </c>
      <c r="C44" s="20"/>
      <c r="G44" s="22">
        <v>410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N28"/>
  <sheetViews>
    <sheetView showGridLines="0" workbookViewId="0">
      <selection activeCell="C5" sqref="C5"/>
    </sheetView>
  </sheetViews>
  <sheetFormatPr defaultColWidth="9.5546875" defaultRowHeight="13.2" x14ac:dyDescent="0.25"/>
  <cols>
    <col min="1" max="4" width="9.5546875" style="3"/>
    <col min="5" max="8" width="9.109375" style="3" customWidth="1"/>
    <col min="9" max="9" width="1.33203125" style="3" customWidth="1"/>
    <col min="10" max="10" width="9.109375" style="35" customWidth="1"/>
    <col min="11" max="13" width="9.109375" style="3" customWidth="1"/>
    <col min="14" max="16384" width="9.5546875" style="3"/>
  </cols>
  <sheetData>
    <row r="1" spans="1:14" x14ac:dyDescent="0.25">
      <c r="A1" s="19" t="s">
        <v>0</v>
      </c>
      <c r="M1" s="5" t="s">
        <v>59</v>
      </c>
    </row>
    <row r="2" spans="1:14" x14ac:dyDescent="0.25">
      <c r="A2" s="19" t="s">
        <v>60</v>
      </c>
      <c r="M2" s="5" t="s">
        <v>61</v>
      </c>
    </row>
    <row r="3" spans="1:14" x14ac:dyDescent="0.25">
      <c r="A3" s="19" t="s">
        <v>62</v>
      </c>
    </row>
    <row r="5" spans="1:14" x14ac:dyDescent="0.25">
      <c r="A5" s="7"/>
      <c r="B5" s="8" t="s">
        <v>63</v>
      </c>
      <c r="C5" s="8" t="s">
        <v>64</v>
      </c>
      <c r="D5" s="7"/>
      <c r="E5" s="7"/>
      <c r="F5" s="7"/>
      <c r="G5" s="7"/>
      <c r="H5" s="7"/>
      <c r="J5" s="36"/>
      <c r="K5" s="7"/>
      <c r="L5" s="7"/>
      <c r="M5" s="7"/>
      <c r="N5" s="7"/>
    </row>
    <row r="6" spans="1:14" x14ac:dyDescent="0.25">
      <c r="A6" s="8" t="s">
        <v>65</v>
      </c>
      <c r="B6" s="8" t="s">
        <v>66</v>
      </c>
      <c r="C6" s="8" t="s">
        <v>10</v>
      </c>
      <c r="D6" s="8" t="s">
        <v>64</v>
      </c>
      <c r="E6" s="25" t="s">
        <v>162</v>
      </c>
      <c r="F6" s="26"/>
      <c r="G6" s="26"/>
      <c r="H6" s="26"/>
      <c r="J6" s="25" t="s">
        <v>67</v>
      </c>
      <c r="K6" s="26"/>
      <c r="L6" s="26"/>
      <c r="M6" s="26"/>
      <c r="N6" s="7"/>
    </row>
    <row r="7" spans="1:14" x14ac:dyDescent="0.25">
      <c r="A7" s="9" t="s">
        <v>8</v>
      </c>
      <c r="B7" s="9" t="s">
        <v>68</v>
      </c>
      <c r="C7" s="9" t="s">
        <v>69</v>
      </c>
      <c r="D7" s="9" t="s">
        <v>10</v>
      </c>
      <c r="E7" s="37">
        <v>2005</v>
      </c>
      <c r="F7" s="37">
        <v>2006</v>
      </c>
      <c r="G7" s="37">
        <v>2007</v>
      </c>
      <c r="H7" s="37">
        <v>2008</v>
      </c>
      <c r="I7" s="38"/>
      <c r="J7" s="37">
        <v>2005</v>
      </c>
      <c r="K7" s="37">
        <v>2006</v>
      </c>
      <c r="L7" s="37">
        <v>2007</v>
      </c>
      <c r="M7" s="37">
        <v>2008</v>
      </c>
      <c r="N7" s="7"/>
    </row>
    <row r="8" spans="1:14" x14ac:dyDescent="0.25">
      <c r="A8" s="10">
        <v>-1</v>
      </c>
      <c r="B8" s="10">
        <v>-2</v>
      </c>
      <c r="C8" s="10">
        <v>-3</v>
      </c>
      <c r="D8" s="10">
        <v>-4</v>
      </c>
      <c r="E8" s="10">
        <v>-5</v>
      </c>
      <c r="F8" s="10">
        <v>-6</v>
      </c>
      <c r="G8" s="10">
        <v>-7</v>
      </c>
      <c r="H8" s="10">
        <v>-8</v>
      </c>
      <c r="J8" s="39">
        <v>-9</v>
      </c>
      <c r="K8" s="10">
        <v>-10</v>
      </c>
      <c r="L8" s="10">
        <v>-11</v>
      </c>
      <c r="M8" s="10">
        <v>-12</v>
      </c>
      <c r="N8" s="7"/>
    </row>
    <row r="9" spans="1:14" x14ac:dyDescent="0.25">
      <c r="A9" s="10"/>
      <c r="B9" s="10"/>
      <c r="C9" s="10"/>
      <c r="D9" s="10"/>
      <c r="E9" s="10"/>
      <c r="F9" s="10"/>
      <c r="G9" s="10"/>
      <c r="H9" s="10"/>
      <c r="J9" s="39"/>
      <c r="K9" s="10"/>
      <c r="L9" s="10"/>
      <c r="M9" s="10"/>
      <c r="N9" s="7"/>
    </row>
    <row r="10" spans="1:14" x14ac:dyDescent="0.25">
      <c r="A10" s="11">
        <v>2005</v>
      </c>
      <c r="B10" s="40">
        <v>4300000</v>
      </c>
      <c r="C10" s="41">
        <v>0.55000000000000004</v>
      </c>
      <c r="D10" s="42">
        <f>B10*C10</f>
        <v>2365000</v>
      </c>
      <c r="E10" s="41">
        <v>0.12</v>
      </c>
      <c r="F10" s="41">
        <v>0.15</v>
      </c>
      <c r="G10" s="41">
        <v>0.15</v>
      </c>
      <c r="H10" s="41">
        <v>0.15</v>
      </c>
      <c r="J10" s="43">
        <f>+$D10*E10</f>
        <v>283800</v>
      </c>
      <c r="K10" s="43">
        <f t="shared" ref="K10:M13" si="0">+$D10*F10</f>
        <v>354750</v>
      </c>
      <c r="L10" s="43">
        <f t="shared" si="0"/>
        <v>354750</v>
      </c>
      <c r="M10" s="43">
        <f t="shared" si="0"/>
        <v>354750</v>
      </c>
      <c r="N10" s="7"/>
    </row>
    <row r="11" spans="1:14" x14ac:dyDescent="0.25">
      <c r="A11" s="11">
        <v>2006</v>
      </c>
      <c r="B11" s="40">
        <v>4250000</v>
      </c>
      <c r="C11" s="41">
        <v>0.55000000000000004</v>
      </c>
      <c r="D11" s="42">
        <f t="shared" ref="D11:D13" si="1">B11*C11</f>
        <v>2337500</v>
      </c>
      <c r="E11" s="44"/>
      <c r="F11" s="41">
        <v>0.12</v>
      </c>
      <c r="G11" s="41">
        <v>0.15</v>
      </c>
      <c r="H11" s="41">
        <v>0.15</v>
      </c>
      <c r="J11" s="36"/>
      <c r="K11" s="43">
        <f t="shared" si="0"/>
        <v>280500</v>
      </c>
      <c r="L11" s="43">
        <f t="shared" si="0"/>
        <v>350625</v>
      </c>
      <c r="M11" s="43">
        <f t="shared" si="0"/>
        <v>350625</v>
      </c>
      <c r="N11" s="7"/>
    </row>
    <row r="12" spans="1:14" x14ac:dyDescent="0.25">
      <c r="A12" s="11">
        <v>2007</v>
      </c>
      <c r="B12" s="40">
        <v>4420000</v>
      </c>
      <c r="C12" s="41">
        <v>0.55000000000000004</v>
      </c>
      <c r="D12" s="42">
        <f t="shared" si="1"/>
        <v>2431000</v>
      </c>
      <c r="E12" s="44"/>
      <c r="F12" s="44"/>
      <c r="G12" s="41">
        <v>0.12</v>
      </c>
      <c r="H12" s="41">
        <v>0.15</v>
      </c>
      <c r="J12" s="36"/>
      <c r="K12" s="7"/>
      <c r="L12" s="43">
        <f t="shared" si="0"/>
        <v>291720</v>
      </c>
      <c r="M12" s="43">
        <f t="shared" si="0"/>
        <v>364650</v>
      </c>
      <c r="N12" s="7"/>
    </row>
    <row r="13" spans="1:14" x14ac:dyDescent="0.25">
      <c r="A13" s="11">
        <v>2008</v>
      </c>
      <c r="B13" s="40">
        <v>3985000</v>
      </c>
      <c r="C13" s="41">
        <v>0.55000000000000004</v>
      </c>
      <c r="D13" s="42">
        <f t="shared" si="1"/>
        <v>2191750</v>
      </c>
      <c r="E13" s="44"/>
      <c r="F13" s="44"/>
      <c r="G13" s="44"/>
      <c r="H13" s="41">
        <v>0.12</v>
      </c>
      <c r="J13" s="36"/>
      <c r="K13" s="7"/>
      <c r="L13" s="7"/>
      <c r="M13" s="43">
        <f t="shared" si="0"/>
        <v>263010</v>
      </c>
      <c r="N13" s="7"/>
    </row>
    <row r="14" spans="1:14" x14ac:dyDescent="0.25">
      <c r="A14" s="11"/>
      <c r="B14" s="42"/>
      <c r="C14" s="45"/>
      <c r="D14" s="42"/>
      <c r="E14" s="7"/>
      <c r="F14" s="7"/>
      <c r="G14" s="7"/>
      <c r="H14" s="45"/>
      <c r="J14" s="36"/>
      <c r="K14" s="7"/>
      <c r="L14" s="7"/>
      <c r="M14" s="42"/>
      <c r="N14" s="7"/>
    </row>
    <row r="15" spans="1:14" x14ac:dyDescent="0.25">
      <c r="A15" s="8" t="s">
        <v>12</v>
      </c>
      <c r="B15" s="42">
        <f>SUM(B10:B13)</f>
        <v>16955000</v>
      </c>
      <c r="C15" s="7"/>
      <c r="D15" s="42">
        <f>SUM(D10:D13)</f>
        <v>9325250</v>
      </c>
      <c r="E15" s="7"/>
      <c r="F15" s="7"/>
      <c r="G15" s="7"/>
      <c r="H15" s="7"/>
      <c r="J15" s="42">
        <f>SUM(J10:J13)</f>
        <v>283800</v>
      </c>
      <c r="K15" s="42">
        <f>SUM(K10:K13)</f>
        <v>635250</v>
      </c>
      <c r="L15" s="42">
        <f>SUM(L10:L13)</f>
        <v>997095</v>
      </c>
      <c r="M15" s="42">
        <f>SUM(M10:M13)</f>
        <v>1333035</v>
      </c>
      <c r="N15" s="7"/>
    </row>
    <row r="16" spans="1:14" x14ac:dyDescent="0.25">
      <c r="A16" s="7"/>
      <c r="B16" s="7"/>
      <c r="C16" s="7"/>
      <c r="D16" s="7"/>
      <c r="E16" s="7"/>
      <c r="F16" s="7"/>
      <c r="G16" s="7"/>
      <c r="H16" s="7"/>
      <c r="J16" s="36"/>
      <c r="K16" s="7"/>
      <c r="L16" s="7"/>
      <c r="M16" s="7"/>
      <c r="N16" s="7"/>
    </row>
    <row r="17" spans="1:13" x14ac:dyDescent="0.25">
      <c r="A17" s="21" t="s">
        <v>70</v>
      </c>
    </row>
    <row r="18" spans="1:13" x14ac:dyDescent="0.25">
      <c r="A18" s="20" t="s">
        <v>71</v>
      </c>
    </row>
    <row r="19" spans="1:13" x14ac:dyDescent="0.25">
      <c r="A19" s="20" t="s">
        <v>72</v>
      </c>
    </row>
    <row r="20" spans="1:13" x14ac:dyDescent="0.25">
      <c r="A20" s="20" t="s">
        <v>73</v>
      </c>
    </row>
    <row r="21" spans="1:13" x14ac:dyDescent="0.25">
      <c r="A21" s="20" t="s">
        <v>74</v>
      </c>
    </row>
    <row r="22" spans="1:13" x14ac:dyDescent="0.25">
      <c r="A22" s="20" t="s">
        <v>75</v>
      </c>
    </row>
    <row r="23" spans="1:13" x14ac:dyDescent="0.25">
      <c r="A23" s="20" t="s">
        <v>76</v>
      </c>
    </row>
    <row r="24" spans="1:13" x14ac:dyDescent="0.25">
      <c r="A24" s="20" t="s">
        <v>77</v>
      </c>
    </row>
    <row r="25" spans="1:13" x14ac:dyDescent="0.25">
      <c r="A25" s="20" t="s">
        <v>78</v>
      </c>
    </row>
    <row r="27" spans="1:13" x14ac:dyDescent="0.25">
      <c r="A27" s="20" t="s">
        <v>79</v>
      </c>
      <c r="M27" s="22">
        <v>411</v>
      </c>
    </row>
    <row r="28" spans="1:13" x14ac:dyDescent="0.25">
      <c r="C28" s="2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H42"/>
  <sheetViews>
    <sheetView showGridLines="0" zoomScaleNormal="100" workbookViewId="0">
      <selection activeCell="C5" sqref="C5"/>
    </sheetView>
  </sheetViews>
  <sheetFormatPr defaultColWidth="9.5546875" defaultRowHeight="13.2" x14ac:dyDescent="0.25"/>
  <cols>
    <col min="1" max="1" width="9.5546875" style="3"/>
    <col min="2" max="2" width="10.109375" style="3" bestFit="1" customWidth="1"/>
    <col min="3" max="4" width="11.5546875" style="3" bestFit="1" customWidth="1"/>
    <col min="5" max="5" width="1.88671875" style="3" customWidth="1"/>
    <col min="6" max="6" width="11.109375" style="3" customWidth="1"/>
    <col min="7" max="7" width="11.5546875" style="3" customWidth="1"/>
    <col min="8" max="8" width="9.88671875" style="3" bestFit="1" customWidth="1"/>
    <col min="9" max="16384" width="9.5546875" style="3"/>
  </cols>
  <sheetData>
    <row r="1" spans="1:7" x14ac:dyDescent="0.25">
      <c r="A1" s="19" t="s">
        <v>0</v>
      </c>
      <c r="G1" s="5" t="s">
        <v>59</v>
      </c>
    </row>
    <row r="2" spans="1:7" x14ac:dyDescent="0.25">
      <c r="A2" s="19" t="s">
        <v>60</v>
      </c>
      <c r="G2" s="5" t="s">
        <v>80</v>
      </c>
    </row>
    <row r="3" spans="1:7" x14ac:dyDescent="0.25">
      <c r="A3" s="19" t="s">
        <v>3</v>
      </c>
    </row>
    <row r="4" spans="1:7" x14ac:dyDescent="0.25">
      <c r="A4" s="20"/>
    </row>
    <row r="5" spans="1:7" x14ac:dyDescent="0.25">
      <c r="F5" s="29" t="s">
        <v>81</v>
      </c>
      <c r="G5" s="30"/>
    </row>
    <row r="6" spans="1:7" x14ac:dyDescent="0.25">
      <c r="A6" s="8" t="s">
        <v>5</v>
      </c>
      <c r="B6" s="8" t="s">
        <v>6</v>
      </c>
      <c r="C6" s="25" t="s">
        <v>11</v>
      </c>
      <c r="D6" s="26"/>
      <c r="F6" s="25" t="s">
        <v>82</v>
      </c>
      <c r="G6" s="26"/>
    </row>
    <row r="7" spans="1:7" x14ac:dyDescent="0.25">
      <c r="A7" s="9" t="s">
        <v>8</v>
      </c>
      <c r="B7" s="9" t="s">
        <v>9</v>
      </c>
      <c r="C7" s="9" t="s">
        <v>83</v>
      </c>
      <c r="D7" s="9" t="s">
        <v>64</v>
      </c>
      <c r="E7" s="9"/>
      <c r="F7" s="9" t="s">
        <v>83</v>
      </c>
      <c r="G7" s="9" t="s">
        <v>64</v>
      </c>
    </row>
    <row r="8" spans="1:7" s="7" customFormat="1" x14ac:dyDescent="0.25">
      <c r="A8" s="10">
        <v>-1</v>
      </c>
      <c r="B8" s="10">
        <v>-2</v>
      </c>
      <c r="C8" s="10">
        <v>-3</v>
      </c>
      <c r="D8" s="10">
        <v>-4</v>
      </c>
      <c r="E8" s="10"/>
      <c r="F8" s="10">
        <v>-5</v>
      </c>
      <c r="G8" s="10">
        <v>-6</v>
      </c>
    </row>
    <row r="9" spans="1:7" s="7" customFormat="1" x14ac:dyDescent="0.25">
      <c r="A9" s="10"/>
      <c r="B9" s="10"/>
      <c r="C9" s="10"/>
      <c r="D9" s="10"/>
      <c r="E9" s="10"/>
      <c r="F9" s="10"/>
      <c r="G9" s="10"/>
    </row>
    <row r="10" spans="1:7" s="7" customFormat="1" x14ac:dyDescent="0.25">
      <c r="A10" s="11">
        <v>2005</v>
      </c>
      <c r="B10" s="31">
        <v>55000</v>
      </c>
      <c r="C10" s="31">
        <v>1253450</v>
      </c>
      <c r="D10" s="32">
        <f>+'17_3_1'!J15</f>
        <v>283800</v>
      </c>
      <c r="E10" s="32"/>
      <c r="F10" s="33">
        <f>+B10/C10</f>
        <v>4.387889425186485E-2</v>
      </c>
      <c r="G10" s="33">
        <f>+B10/D10</f>
        <v>0.19379844961240311</v>
      </c>
    </row>
    <row r="11" spans="1:7" s="7" customFormat="1" x14ac:dyDescent="0.25">
      <c r="A11" s="11">
        <v>2006</v>
      </c>
      <c r="B11" s="31">
        <v>62500</v>
      </c>
      <c r="C11" s="31">
        <v>86000</v>
      </c>
      <c r="D11" s="32">
        <f>+'17_3_1'!K15</f>
        <v>635250</v>
      </c>
      <c r="E11" s="32"/>
      <c r="F11" s="33">
        <f t="shared" ref="F11:F15" si="0">+B11/C11</f>
        <v>0.72674418604651159</v>
      </c>
      <c r="G11" s="33">
        <f t="shared" ref="G11:G15" si="1">+B11/D11</f>
        <v>9.8386462022825666E-2</v>
      </c>
    </row>
    <row r="12" spans="1:7" s="7" customFormat="1" x14ac:dyDescent="0.25">
      <c r="A12" s="11">
        <v>2007</v>
      </c>
      <c r="B12" s="31">
        <v>70000</v>
      </c>
      <c r="C12" s="31">
        <v>410650</v>
      </c>
      <c r="D12" s="32">
        <f>+'17_3_1'!L15</f>
        <v>997095</v>
      </c>
      <c r="E12" s="32"/>
      <c r="F12" s="33">
        <f t="shared" si="0"/>
        <v>0.17046146353342262</v>
      </c>
      <c r="G12" s="33">
        <f t="shared" si="1"/>
        <v>7.0203942452825463E-2</v>
      </c>
    </row>
    <row r="13" spans="1:7" s="7" customFormat="1" x14ac:dyDescent="0.25">
      <c r="A13" s="11">
        <v>2008</v>
      </c>
      <c r="B13" s="31">
        <v>80000</v>
      </c>
      <c r="C13" s="31">
        <v>309600</v>
      </c>
      <c r="D13" s="32">
        <f>+'17_3_1'!M15</f>
        <v>1333035</v>
      </c>
      <c r="E13" s="32"/>
      <c r="F13" s="33">
        <f t="shared" si="0"/>
        <v>0.25839793281653745</v>
      </c>
      <c r="G13" s="33">
        <f t="shared" si="1"/>
        <v>6.0013428004516013E-2</v>
      </c>
    </row>
    <row r="14" spans="1:7" s="7" customFormat="1" x14ac:dyDescent="0.25">
      <c r="A14" s="11"/>
      <c r="B14" s="32"/>
      <c r="C14" s="32"/>
      <c r="D14" s="32"/>
      <c r="E14" s="32"/>
      <c r="F14" s="34"/>
      <c r="G14" s="33"/>
    </row>
    <row r="15" spans="1:7" s="7" customFormat="1" x14ac:dyDescent="0.25">
      <c r="A15" s="8" t="s">
        <v>12</v>
      </c>
      <c r="B15" s="32">
        <f>SUM(B10:B13)</f>
        <v>267500</v>
      </c>
      <c r="C15" s="32">
        <f t="shared" ref="C15:D15" si="2">SUM(C10:C13)</f>
        <v>2059700</v>
      </c>
      <c r="D15" s="32">
        <f t="shared" si="2"/>
        <v>3249180</v>
      </c>
      <c r="E15" s="32"/>
      <c r="F15" s="33">
        <f t="shared" si="0"/>
        <v>0.12987328251687139</v>
      </c>
      <c r="G15" s="33">
        <f t="shared" si="1"/>
        <v>8.2328464412559477E-2</v>
      </c>
    </row>
    <row r="16" spans="1:7" s="7" customFormat="1" x14ac:dyDescent="0.25">
      <c r="A16" s="8"/>
      <c r="B16" s="32"/>
      <c r="C16" s="32"/>
      <c r="D16" s="32"/>
      <c r="E16" s="32"/>
      <c r="F16" s="33"/>
      <c r="G16" s="34"/>
    </row>
    <row r="17" spans="1:8" x14ac:dyDescent="0.25">
      <c r="A17" s="20" t="s">
        <v>84</v>
      </c>
      <c r="G17" s="33">
        <v>7.0000000000000007E-2</v>
      </c>
    </row>
    <row r="18" spans="1:8" x14ac:dyDescent="0.25">
      <c r="A18" s="20"/>
      <c r="G18" s="33"/>
    </row>
    <row r="19" spans="1:8" x14ac:dyDescent="0.25">
      <c r="A19" s="20" t="s">
        <v>85</v>
      </c>
      <c r="G19" s="31">
        <v>225000</v>
      </c>
    </row>
    <row r="20" spans="1:8" x14ac:dyDescent="0.25">
      <c r="A20" s="20"/>
      <c r="G20" s="31"/>
    </row>
    <row r="21" spans="1:8" x14ac:dyDescent="0.25">
      <c r="A21" s="20" t="s">
        <v>86</v>
      </c>
      <c r="G21" s="31">
        <v>6430000</v>
      </c>
    </row>
    <row r="22" spans="1:8" x14ac:dyDescent="0.25">
      <c r="A22" s="20"/>
      <c r="G22" s="31"/>
    </row>
    <row r="23" spans="1:8" x14ac:dyDescent="0.25">
      <c r="A23" s="20" t="s">
        <v>87</v>
      </c>
      <c r="G23" s="31">
        <v>109588</v>
      </c>
    </row>
    <row r="24" spans="1:8" x14ac:dyDescent="0.25">
      <c r="A24" s="20"/>
      <c r="G24" s="32"/>
    </row>
    <row r="25" spans="1:8" x14ac:dyDescent="0.25">
      <c r="A25" s="20" t="s">
        <v>88</v>
      </c>
      <c r="G25" s="32">
        <f>+$G$17*(0.5*G19+G21)</f>
        <v>457975.00000000006</v>
      </c>
      <c r="H25" s="32"/>
    </row>
    <row r="26" spans="1:8" x14ac:dyDescent="0.25">
      <c r="A26" s="20"/>
      <c r="G26" s="32"/>
      <c r="H26" s="32"/>
    </row>
    <row r="27" spans="1:8" x14ac:dyDescent="0.25">
      <c r="A27" s="20" t="s">
        <v>165</v>
      </c>
      <c r="G27" s="32">
        <f>$G$17*(0.5*(G19+G21-G23)+G23)</f>
        <v>236760.58000000002</v>
      </c>
      <c r="H27" s="32"/>
    </row>
    <row r="29" spans="1:8" x14ac:dyDescent="0.25">
      <c r="A29" s="21" t="s">
        <v>21</v>
      </c>
    </row>
    <row r="30" spans="1:8" x14ac:dyDescent="0.25">
      <c r="A30" s="20" t="s">
        <v>89</v>
      </c>
    </row>
    <row r="31" spans="1:8" x14ac:dyDescent="0.25">
      <c r="A31" s="20" t="s">
        <v>90</v>
      </c>
    </row>
    <row r="32" spans="1:8" x14ac:dyDescent="0.25">
      <c r="A32" s="20" t="s">
        <v>91</v>
      </c>
    </row>
    <row r="33" spans="1:7" x14ac:dyDescent="0.25">
      <c r="A33" s="20" t="s">
        <v>92</v>
      </c>
    </row>
    <row r="34" spans="1:7" x14ac:dyDescent="0.25">
      <c r="A34" s="20" t="s">
        <v>93</v>
      </c>
    </row>
    <row r="35" spans="1:7" x14ac:dyDescent="0.25">
      <c r="A35" s="20" t="s">
        <v>94</v>
      </c>
    </row>
    <row r="36" spans="1:7" x14ac:dyDescent="0.25">
      <c r="A36" s="20" t="s">
        <v>95</v>
      </c>
    </row>
    <row r="37" spans="1:7" x14ac:dyDescent="0.25">
      <c r="A37" s="20" t="s">
        <v>96</v>
      </c>
    </row>
    <row r="38" spans="1:7" x14ac:dyDescent="0.25">
      <c r="A38" s="20" t="s">
        <v>97</v>
      </c>
    </row>
    <row r="39" spans="1:7" x14ac:dyDescent="0.25">
      <c r="A39" s="20" t="s">
        <v>98</v>
      </c>
    </row>
    <row r="41" spans="1:7" x14ac:dyDescent="0.25">
      <c r="A41" s="20" t="s">
        <v>99</v>
      </c>
      <c r="G41" s="22">
        <v>412</v>
      </c>
    </row>
    <row r="42" spans="1:7" x14ac:dyDescent="0.25">
      <c r="A42" s="20"/>
      <c r="C42" s="2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H26"/>
  <sheetViews>
    <sheetView showGridLines="0" workbookViewId="0">
      <selection activeCell="C5" sqref="C5"/>
    </sheetView>
  </sheetViews>
  <sheetFormatPr defaultColWidth="9.5546875" defaultRowHeight="13.2" x14ac:dyDescent="0.25"/>
  <cols>
    <col min="1" max="1" width="9.44140625" style="3" customWidth="1"/>
    <col min="2" max="4" width="12.44140625" style="3" customWidth="1"/>
    <col min="5" max="5" width="12.6640625" style="3" customWidth="1"/>
    <col min="6" max="8" width="12.44140625" style="3" customWidth="1"/>
    <col min="9" max="16384" width="9.5546875" style="3"/>
  </cols>
  <sheetData>
    <row r="1" spans="1:8" x14ac:dyDescent="0.25">
      <c r="A1" s="19" t="s">
        <v>0</v>
      </c>
      <c r="H1" s="5" t="s">
        <v>100</v>
      </c>
    </row>
    <row r="2" spans="1:8" x14ac:dyDescent="0.25">
      <c r="A2" s="19" t="s">
        <v>101</v>
      </c>
      <c r="H2" s="5" t="s">
        <v>61</v>
      </c>
    </row>
    <row r="3" spans="1:8" x14ac:dyDescent="0.25">
      <c r="A3" s="19" t="s">
        <v>102</v>
      </c>
    </row>
    <row r="5" spans="1:8" x14ac:dyDescent="0.25">
      <c r="A5" s="7"/>
      <c r="B5" s="25" t="s">
        <v>103</v>
      </c>
      <c r="C5" s="26"/>
      <c r="D5" s="26"/>
      <c r="E5" s="8" t="s">
        <v>104</v>
      </c>
      <c r="F5" s="25" t="s">
        <v>105</v>
      </c>
      <c r="G5" s="26"/>
      <c r="H5" s="26"/>
    </row>
    <row r="6" spans="1:8" x14ac:dyDescent="0.25">
      <c r="A6" s="7"/>
      <c r="B6" s="8" t="s">
        <v>6</v>
      </c>
      <c r="C6" s="8" t="s">
        <v>6</v>
      </c>
      <c r="D6" s="8" t="s">
        <v>106</v>
      </c>
      <c r="E6" s="8" t="s">
        <v>107</v>
      </c>
      <c r="F6" s="8" t="s">
        <v>108</v>
      </c>
      <c r="G6" s="8" t="s">
        <v>109</v>
      </c>
      <c r="H6" s="8" t="s">
        <v>106</v>
      </c>
    </row>
    <row r="7" spans="1:8" x14ac:dyDescent="0.25">
      <c r="A7" s="9" t="s">
        <v>8</v>
      </c>
      <c r="B7" s="9" t="s">
        <v>9</v>
      </c>
      <c r="C7" s="9" t="s">
        <v>10</v>
      </c>
      <c r="D7" s="9" t="s">
        <v>10</v>
      </c>
      <c r="E7" s="9" t="s">
        <v>103</v>
      </c>
      <c r="F7" s="9" t="s">
        <v>10</v>
      </c>
      <c r="G7" s="9" t="s">
        <v>110</v>
      </c>
      <c r="H7" s="9" t="s">
        <v>10</v>
      </c>
    </row>
    <row r="8" spans="1:8" x14ac:dyDescent="0.25">
      <c r="A8" s="10">
        <v>-1</v>
      </c>
      <c r="B8" s="10">
        <v>-2</v>
      </c>
      <c r="C8" s="10">
        <v>-3</v>
      </c>
      <c r="D8" s="10">
        <v>-4</v>
      </c>
      <c r="E8" s="10">
        <v>-5</v>
      </c>
      <c r="F8" s="10">
        <v>-6</v>
      </c>
      <c r="G8" s="10">
        <v>-7</v>
      </c>
      <c r="H8" s="10">
        <v>-8</v>
      </c>
    </row>
    <row r="9" spans="1:8" x14ac:dyDescent="0.25">
      <c r="A9" s="10"/>
      <c r="B9" s="10"/>
      <c r="C9" s="10"/>
      <c r="D9" s="10"/>
      <c r="E9" s="10"/>
      <c r="F9" s="10"/>
      <c r="G9" s="10"/>
      <c r="H9" s="10"/>
    </row>
    <row r="10" spans="1:8" x14ac:dyDescent="0.25">
      <c r="A10" s="11">
        <v>2003</v>
      </c>
      <c r="B10" s="27">
        <v>1978</v>
      </c>
      <c r="C10" s="27">
        <v>4590</v>
      </c>
      <c r="D10" s="27">
        <v>19534</v>
      </c>
      <c r="E10" s="27">
        <v>27200</v>
      </c>
      <c r="F10" s="27">
        <v>28600</v>
      </c>
      <c r="G10" s="28">
        <v>257</v>
      </c>
      <c r="H10" s="27">
        <v>28343</v>
      </c>
    </row>
    <row r="11" spans="1:8" x14ac:dyDescent="0.25">
      <c r="A11" s="11">
        <v>2004</v>
      </c>
      <c r="B11" s="27">
        <v>4820</v>
      </c>
      <c r="C11" s="27">
        <v>14600</v>
      </c>
      <c r="D11" s="27">
        <v>57125</v>
      </c>
      <c r="E11" s="27">
        <v>76700</v>
      </c>
      <c r="F11" s="27">
        <v>79200</v>
      </c>
      <c r="G11" s="27">
        <v>1742</v>
      </c>
      <c r="H11" s="27">
        <v>77458</v>
      </c>
    </row>
    <row r="12" spans="1:8" x14ac:dyDescent="0.25">
      <c r="A12" s="11">
        <v>2005</v>
      </c>
      <c r="B12" s="27">
        <v>8558</v>
      </c>
      <c r="C12" s="27">
        <v>38390</v>
      </c>
      <c r="D12" s="27">
        <v>85521</v>
      </c>
      <c r="E12" s="27">
        <v>106900</v>
      </c>
      <c r="F12" s="27">
        <v>108400</v>
      </c>
      <c r="G12" s="27">
        <v>5095</v>
      </c>
      <c r="H12" s="27">
        <v>103305</v>
      </c>
    </row>
    <row r="13" spans="1:8" x14ac:dyDescent="0.25">
      <c r="A13" s="11">
        <v>2006</v>
      </c>
      <c r="B13" s="27">
        <v>12039</v>
      </c>
      <c r="C13" s="27">
        <v>58297</v>
      </c>
      <c r="D13" s="27">
        <v>128672</v>
      </c>
      <c r="E13" s="27">
        <v>154300</v>
      </c>
      <c r="F13" s="27">
        <v>156700</v>
      </c>
      <c r="G13" s="27">
        <v>16140</v>
      </c>
      <c r="H13" s="27">
        <v>140560</v>
      </c>
    </row>
    <row r="14" spans="1:8" x14ac:dyDescent="0.25">
      <c r="A14" s="11">
        <v>2007</v>
      </c>
      <c r="B14" s="27">
        <v>13143</v>
      </c>
      <c r="C14" s="27">
        <v>86074</v>
      </c>
      <c r="D14" s="27">
        <v>145070</v>
      </c>
      <c r="E14" s="27">
        <v>163100</v>
      </c>
      <c r="F14" s="27">
        <v>163400</v>
      </c>
      <c r="G14" s="27">
        <v>34477</v>
      </c>
      <c r="H14" s="27">
        <v>128923</v>
      </c>
    </row>
    <row r="15" spans="1:8" x14ac:dyDescent="0.25">
      <c r="A15" s="11">
        <v>2008</v>
      </c>
      <c r="B15" s="27">
        <v>15286</v>
      </c>
      <c r="C15" s="27">
        <v>105466</v>
      </c>
      <c r="D15" s="27">
        <v>163626</v>
      </c>
      <c r="E15" s="27">
        <v>176400</v>
      </c>
      <c r="F15" s="27">
        <v>177100</v>
      </c>
      <c r="G15" s="27">
        <v>56141</v>
      </c>
      <c r="H15" s="27">
        <v>120959</v>
      </c>
    </row>
    <row r="16" spans="1:8" x14ac:dyDescent="0.25">
      <c r="A16" s="11"/>
      <c r="B16" s="12"/>
      <c r="C16" s="12"/>
      <c r="D16" s="12"/>
      <c r="E16" s="12"/>
      <c r="F16" s="12"/>
      <c r="G16" s="12"/>
      <c r="H16" s="12"/>
    </row>
    <row r="17" spans="1:8" x14ac:dyDescent="0.25">
      <c r="A17" s="8" t="s">
        <v>12</v>
      </c>
      <c r="B17" s="12">
        <f>SUM(B10:B15)</f>
        <v>55824</v>
      </c>
      <c r="C17" s="12">
        <f t="shared" ref="C17:H17" si="0">SUM(C10:C15)</f>
        <v>307417</v>
      </c>
      <c r="D17" s="12">
        <f t="shared" si="0"/>
        <v>599548</v>
      </c>
      <c r="E17" s="12">
        <f t="shared" si="0"/>
        <v>704600</v>
      </c>
      <c r="F17" s="12">
        <f t="shared" si="0"/>
        <v>713400</v>
      </c>
      <c r="G17" s="12">
        <f t="shared" si="0"/>
        <v>113852</v>
      </c>
      <c r="H17" s="12">
        <f t="shared" si="0"/>
        <v>599548</v>
      </c>
    </row>
    <row r="19" spans="1:8" x14ac:dyDescent="0.25">
      <c r="A19" s="20" t="s">
        <v>111</v>
      </c>
    </row>
    <row r="21" spans="1:8" x14ac:dyDescent="0.25">
      <c r="A21" s="21" t="s">
        <v>70</v>
      </c>
    </row>
    <row r="22" spans="1:8" x14ac:dyDescent="0.25">
      <c r="A22" s="20" t="s">
        <v>112</v>
      </c>
    </row>
    <row r="23" spans="1:8" x14ac:dyDescent="0.25">
      <c r="A23" s="20" t="s">
        <v>113</v>
      </c>
    </row>
    <row r="24" spans="1:8" x14ac:dyDescent="0.25">
      <c r="A24" s="20" t="s">
        <v>114</v>
      </c>
    </row>
    <row r="26" spans="1:8" x14ac:dyDescent="0.25">
      <c r="A26" s="20" t="s">
        <v>115</v>
      </c>
      <c r="C26" s="20"/>
      <c r="H26" s="3">
        <v>413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H39"/>
  <sheetViews>
    <sheetView showGridLines="0" workbookViewId="0">
      <selection activeCell="C5" sqref="C5"/>
    </sheetView>
  </sheetViews>
  <sheetFormatPr defaultColWidth="9.5546875" defaultRowHeight="13.2" x14ac:dyDescent="0.25"/>
  <cols>
    <col min="1" max="7" width="13" style="3" customWidth="1"/>
    <col min="8" max="16384" width="9.5546875" style="3"/>
  </cols>
  <sheetData>
    <row r="1" spans="1:8" x14ac:dyDescent="0.25">
      <c r="A1" s="19" t="s">
        <v>0</v>
      </c>
      <c r="G1" s="5" t="s">
        <v>100</v>
      </c>
    </row>
    <row r="2" spans="1:8" x14ac:dyDescent="0.25">
      <c r="A2" s="19" t="s">
        <v>101</v>
      </c>
      <c r="G2" s="5" t="s">
        <v>80</v>
      </c>
    </row>
    <row r="3" spans="1:8" x14ac:dyDescent="0.25">
      <c r="A3" s="19" t="s">
        <v>116</v>
      </c>
    </row>
    <row r="4" spans="1:8" x14ac:dyDescent="0.25">
      <c r="A4" s="7"/>
      <c r="B4" s="7"/>
      <c r="C4" s="7"/>
      <c r="D4" s="7"/>
      <c r="E4" s="7"/>
      <c r="F4" s="23" t="s">
        <v>117</v>
      </c>
      <c r="G4" s="24"/>
      <c r="H4" s="7"/>
    </row>
    <row r="5" spans="1:8" x14ac:dyDescent="0.25">
      <c r="A5" s="7"/>
      <c r="B5" s="7"/>
      <c r="C5" s="7"/>
      <c r="D5" s="7"/>
      <c r="E5" s="7"/>
      <c r="F5" s="25" t="s">
        <v>7</v>
      </c>
      <c r="G5" s="26"/>
      <c r="H5" s="7"/>
    </row>
    <row r="6" spans="1:8" x14ac:dyDescent="0.25">
      <c r="A6" s="7"/>
      <c r="B6" s="7"/>
      <c r="C6" s="7"/>
      <c r="D6" s="7"/>
      <c r="E6" s="8" t="s">
        <v>118</v>
      </c>
      <c r="F6" s="8" t="s">
        <v>6</v>
      </c>
      <c r="G6" s="8" t="s">
        <v>119</v>
      </c>
      <c r="H6" s="7"/>
    </row>
    <row r="7" spans="1:8" x14ac:dyDescent="0.25">
      <c r="A7" s="8" t="s">
        <v>5</v>
      </c>
      <c r="B7" s="8" t="s">
        <v>6</v>
      </c>
      <c r="C7" s="8" t="s">
        <v>6</v>
      </c>
      <c r="D7" s="8" t="s">
        <v>106</v>
      </c>
      <c r="E7" s="8" t="s">
        <v>120</v>
      </c>
      <c r="F7" s="8" t="s">
        <v>10</v>
      </c>
      <c r="G7" s="8" t="s">
        <v>121</v>
      </c>
      <c r="H7" s="7"/>
    </row>
    <row r="8" spans="1:8" x14ac:dyDescent="0.25">
      <c r="A8" s="9" t="s">
        <v>8</v>
      </c>
      <c r="B8" s="9" t="s">
        <v>9</v>
      </c>
      <c r="C8" s="9" t="s">
        <v>10</v>
      </c>
      <c r="D8" s="9" t="s">
        <v>10</v>
      </c>
      <c r="E8" s="9" t="s">
        <v>10</v>
      </c>
      <c r="F8" s="9" t="s">
        <v>122</v>
      </c>
      <c r="G8" s="9" t="s">
        <v>123</v>
      </c>
      <c r="H8" s="7"/>
    </row>
    <row r="9" spans="1:8" x14ac:dyDescent="0.25">
      <c r="A9" s="10">
        <v>-1</v>
      </c>
      <c r="B9" s="10">
        <v>-2</v>
      </c>
      <c r="C9" s="10">
        <v>-3</v>
      </c>
      <c r="D9" s="10">
        <v>-4</v>
      </c>
      <c r="E9" s="10">
        <v>-5</v>
      </c>
      <c r="F9" s="10">
        <v>-6</v>
      </c>
      <c r="G9" s="10">
        <v>-7</v>
      </c>
      <c r="H9" s="7"/>
    </row>
    <row r="10" spans="1:8" x14ac:dyDescent="0.25">
      <c r="A10" s="10"/>
      <c r="B10" s="10"/>
      <c r="C10" s="10"/>
      <c r="D10" s="10"/>
      <c r="E10" s="10"/>
      <c r="F10" s="10"/>
      <c r="G10" s="10"/>
      <c r="H10" s="7"/>
    </row>
    <row r="11" spans="1:8" x14ac:dyDescent="0.25">
      <c r="A11" s="11">
        <v>2003</v>
      </c>
      <c r="B11" s="12">
        <f>+'17_4_1'!B10</f>
        <v>1978</v>
      </c>
      <c r="C11" s="12">
        <f>+'17_4_1'!C10</f>
        <v>4590</v>
      </c>
      <c r="D11" s="12">
        <f>+'17_4_1'!D10</f>
        <v>19534</v>
      </c>
      <c r="E11" s="12">
        <f>AVERAGE(C11:D11)</f>
        <v>12062</v>
      </c>
      <c r="F11" s="13">
        <f>+B11/C11</f>
        <v>0.43093681917211329</v>
      </c>
      <c r="G11" s="13">
        <f>B11/E11</f>
        <v>0.16398607196153209</v>
      </c>
    </row>
    <row r="12" spans="1:8" x14ac:dyDescent="0.25">
      <c r="A12" s="11">
        <v>2004</v>
      </c>
      <c r="B12" s="12">
        <f>+'17_4_1'!B11</f>
        <v>4820</v>
      </c>
      <c r="C12" s="12">
        <f>+'17_4_1'!C11</f>
        <v>14600</v>
      </c>
      <c r="D12" s="12">
        <f>+'17_4_1'!D11</f>
        <v>57125</v>
      </c>
      <c r="E12" s="12">
        <f t="shared" ref="E12:E16" si="0">AVERAGE(C12:D12)</f>
        <v>35862.5</v>
      </c>
      <c r="F12" s="13">
        <f t="shared" ref="F12:F18" si="1">+B12/C12</f>
        <v>0.33013698630136984</v>
      </c>
      <c r="G12" s="13">
        <f t="shared" ref="G12:G18" si="2">B12/E12</f>
        <v>0.13440223074241897</v>
      </c>
    </row>
    <row r="13" spans="1:8" x14ac:dyDescent="0.25">
      <c r="A13" s="11">
        <v>2005</v>
      </c>
      <c r="B13" s="12">
        <f>+'17_4_1'!B12</f>
        <v>8558</v>
      </c>
      <c r="C13" s="12">
        <f>+'17_4_1'!C12</f>
        <v>38390</v>
      </c>
      <c r="D13" s="12">
        <f>+'17_4_1'!D12</f>
        <v>85521</v>
      </c>
      <c r="E13" s="12">
        <f t="shared" si="0"/>
        <v>61955.5</v>
      </c>
      <c r="F13" s="13">
        <f t="shared" si="1"/>
        <v>0.22292263610315186</v>
      </c>
      <c r="G13" s="13">
        <f t="shared" si="2"/>
        <v>0.13813140076345118</v>
      </c>
    </row>
    <row r="14" spans="1:8" x14ac:dyDescent="0.25">
      <c r="A14" s="11">
        <v>2006</v>
      </c>
      <c r="B14" s="12">
        <f>+'17_4_1'!B13</f>
        <v>12039</v>
      </c>
      <c r="C14" s="12">
        <f>+'17_4_1'!C13</f>
        <v>58297</v>
      </c>
      <c r="D14" s="12">
        <f>+'17_4_1'!D13</f>
        <v>128672</v>
      </c>
      <c r="E14" s="12">
        <f t="shared" si="0"/>
        <v>93484.5</v>
      </c>
      <c r="F14" s="13">
        <f t="shared" si="1"/>
        <v>0.20651148429593288</v>
      </c>
      <c r="G14" s="13">
        <f t="shared" si="2"/>
        <v>0.12878070696211671</v>
      </c>
    </row>
    <row r="15" spans="1:8" x14ac:dyDescent="0.25">
      <c r="A15" s="11">
        <v>2007</v>
      </c>
      <c r="B15" s="12">
        <f>+'17_4_1'!B14</f>
        <v>13143</v>
      </c>
      <c r="C15" s="12">
        <f>+'17_4_1'!C14</f>
        <v>86074</v>
      </c>
      <c r="D15" s="12">
        <f>+'17_4_1'!D14</f>
        <v>145070</v>
      </c>
      <c r="E15" s="12">
        <f t="shared" si="0"/>
        <v>115572</v>
      </c>
      <c r="F15" s="13">
        <f t="shared" si="1"/>
        <v>0.15269419336849688</v>
      </c>
      <c r="G15" s="13">
        <f t="shared" si="2"/>
        <v>0.11372131658187104</v>
      </c>
    </row>
    <row r="16" spans="1:8" x14ac:dyDescent="0.25">
      <c r="A16" s="11">
        <v>2008</v>
      </c>
      <c r="B16" s="12">
        <f>+'17_4_1'!B15</f>
        <v>15286</v>
      </c>
      <c r="C16" s="12">
        <f>+'17_4_1'!C15</f>
        <v>105466</v>
      </c>
      <c r="D16" s="12">
        <f>+'17_4_1'!D15</f>
        <v>163626</v>
      </c>
      <c r="E16" s="12">
        <f t="shared" si="0"/>
        <v>134546</v>
      </c>
      <c r="F16" s="13">
        <f t="shared" si="1"/>
        <v>0.14493770504238332</v>
      </c>
      <c r="G16" s="13">
        <f t="shared" si="2"/>
        <v>0.11361170157418281</v>
      </c>
    </row>
    <row r="17" spans="1:7" x14ac:dyDescent="0.25">
      <c r="A17" s="11"/>
      <c r="B17" s="12"/>
      <c r="C17" s="12"/>
      <c r="D17" s="12"/>
      <c r="E17" s="12"/>
      <c r="F17" s="14"/>
      <c r="G17" s="14"/>
    </row>
    <row r="18" spans="1:7" x14ac:dyDescent="0.25">
      <c r="A18" s="8" t="s">
        <v>12</v>
      </c>
      <c r="B18" s="12">
        <f>SUM(B11:B16)</f>
        <v>55824</v>
      </c>
      <c r="C18" s="12">
        <f t="shared" ref="C18:E18" si="3">SUM(C11:C16)</f>
        <v>307417</v>
      </c>
      <c r="D18" s="12">
        <f t="shared" si="3"/>
        <v>599548</v>
      </c>
      <c r="E18" s="12">
        <f t="shared" si="3"/>
        <v>453482.5</v>
      </c>
      <c r="F18" s="13">
        <f t="shared" si="1"/>
        <v>0.18159047808026232</v>
      </c>
      <c r="G18" s="13">
        <f t="shared" si="2"/>
        <v>0.12310067091894394</v>
      </c>
    </row>
    <row r="19" spans="1:7" x14ac:dyDescent="0.25">
      <c r="A19" s="8"/>
      <c r="B19" s="12"/>
      <c r="C19" s="12"/>
      <c r="D19" s="12"/>
      <c r="E19" s="12"/>
      <c r="F19" s="14"/>
      <c r="G19" s="14"/>
    </row>
    <row r="20" spans="1:7" x14ac:dyDescent="0.25">
      <c r="A20" s="20" t="s">
        <v>41</v>
      </c>
      <c r="F20" s="13">
        <v>0.16</v>
      </c>
      <c r="G20" s="14">
        <v>0.115</v>
      </c>
    </row>
    <row r="21" spans="1:7" x14ac:dyDescent="0.25">
      <c r="A21" s="20"/>
      <c r="F21" s="13"/>
      <c r="G21" s="14"/>
    </row>
    <row r="22" spans="1:7" x14ac:dyDescent="0.25">
      <c r="A22" s="20" t="s">
        <v>42</v>
      </c>
      <c r="F22" s="27">
        <v>292130</v>
      </c>
      <c r="G22" s="27">
        <v>292130</v>
      </c>
    </row>
    <row r="23" spans="1:7" x14ac:dyDescent="0.25">
      <c r="A23" s="20"/>
      <c r="F23" s="27"/>
      <c r="G23" s="27"/>
    </row>
    <row r="24" spans="1:7" x14ac:dyDescent="0.25">
      <c r="A24" s="20" t="s">
        <v>124</v>
      </c>
      <c r="F24" s="27">
        <v>113853</v>
      </c>
      <c r="G24" s="27">
        <v>113853</v>
      </c>
    </row>
    <row r="25" spans="1:7" x14ac:dyDescent="0.25">
      <c r="A25" s="20"/>
      <c r="F25" s="12"/>
      <c r="G25" s="12"/>
    </row>
    <row r="26" spans="1:7" x14ac:dyDescent="0.25">
      <c r="A26" s="20" t="s">
        <v>125</v>
      </c>
      <c r="F26" s="12">
        <f>F20*(0.5*F22+F24)</f>
        <v>41586.879999999997</v>
      </c>
      <c r="G26" s="12">
        <f>G20*(0.5*G22+G24)</f>
        <v>29890.57</v>
      </c>
    </row>
    <row r="28" spans="1:7" x14ac:dyDescent="0.25">
      <c r="A28" s="21" t="s">
        <v>21</v>
      </c>
    </row>
    <row r="29" spans="1:7" x14ac:dyDescent="0.25">
      <c r="A29" s="20" t="s">
        <v>126</v>
      </c>
    </row>
    <row r="30" spans="1:7" x14ac:dyDescent="0.25">
      <c r="A30" s="20" t="s">
        <v>48</v>
      </c>
    </row>
    <row r="31" spans="1:7" x14ac:dyDescent="0.25">
      <c r="A31" s="20" t="s">
        <v>49</v>
      </c>
    </row>
    <row r="32" spans="1:7" x14ac:dyDescent="0.25">
      <c r="A32" s="20" t="s">
        <v>50</v>
      </c>
    </row>
    <row r="33" spans="1:7" x14ac:dyDescent="0.25">
      <c r="A33" s="20" t="s">
        <v>127</v>
      </c>
    </row>
    <row r="34" spans="1:7" x14ac:dyDescent="0.25">
      <c r="A34" s="20" t="s">
        <v>128</v>
      </c>
    </row>
    <row r="35" spans="1:7" x14ac:dyDescent="0.25">
      <c r="A35" s="20" t="s">
        <v>53</v>
      </c>
    </row>
    <row r="36" spans="1:7" x14ac:dyDescent="0.25">
      <c r="A36" s="20" t="s">
        <v>129</v>
      </c>
    </row>
    <row r="38" spans="1:7" x14ac:dyDescent="0.25">
      <c r="A38" s="20" t="s">
        <v>130</v>
      </c>
      <c r="G38" s="22">
        <v>414</v>
      </c>
    </row>
    <row r="39" spans="1:7" x14ac:dyDescent="0.25">
      <c r="A39" s="20"/>
      <c r="C39" s="2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</sheetPr>
  <dimension ref="A1:G39"/>
  <sheetViews>
    <sheetView showGridLines="0" workbookViewId="0">
      <selection activeCell="C5" sqref="C5"/>
    </sheetView>
  </sheetViews>
  <sheetFormatPr defaultColWidth="9.5546875" defaultRowHeight="13.2" x14ac:dyDescent="0.25"/>
  <cols>
    <col min="1" max="6" width="12.5546875" style="3" customWidth="1"/>
    <col min="7" max="16384" width="9.5546875" style="3"/>
  </cols>
  <sheetData>
    <row r="1" spans="1:7" x14ac:dyDescent="0.25">
      <c r="A1" s="19" t="s">
        <v>0</v>
      </c>
      <c r="F1" s="5" t="s">
        <v>100</v>
      </c>
    </row>
    <row r="2" spans="1:7" x14ac:dyDescent="0.25">
      <c r="A2" s="19" t="s">
        <v>101</v>
      </c>
      <c r="F2" s="5" t="s">
        <v>131</v>
      </c>
    </row>
    <row r="3" spans="1:7" x14ac:dyDescent="0.25">
      <c r="A3" s="19" t="s">
        <v>132</v>
      </c>
    </row>
    <row r="4" spans="1:7" x14ac:dyDescent="0.25">
      <c r="A4" s="20"/>
    </row>
    <row r="5" spans="1:7" x14ac:dyDescent="0.25">
      <c r="A5" s="7"/>
      <c r="B5" s="7"/>
      <c r="C5" s="8" t="s">
        <v>104</v>
      </c>
      <c r="D5" s="7"/>
      <c r="E5" s="7"/>
      <c r="F5" s="7"/>
      <c r="G5" s="7"/>
    </row>
    <row r="6" spans="1:7" x14ac:dyDescent="0.25">
      <c r="A6" s="8" t="s">
        <v>5</v>
      </c>
      <c r="B6" s="8" t="s">
        <v>6</v>
      </c>
      <c r="C6" s="8" t="s">
        <v>107</v>
      </c>
      <c r="D6" s="8" t="s">
        <v>6</v>
      </c>
      <c r="E6" s="8" t="s">
        <v>10</v>
      </c>
      <c r="F6" s="8" t="s">
        <v>9</v>
      </c>
      <c r="G6" s="7"/>
    </row>
    <row r="7" spans="1:7" x14ac:dyDescent="0.25">
      <c r="A7" s="9" t="s">
        <v>8</v>
      </c>
      <c r="B7" s="9" t="s">
        <v>9</v>
      </c>
      <c r="C7" s="9" t="s">
        <v>103</v>
      </c>
      <c r="D7" s="9" t="s">
        <v>10</v>
      </c>
      <c r="E7" s="9" t="s">
        <v>133</v>
      </c>
      <c r="F7" s="9" t="s">
        <v>69</v>
      </c>
      <c r="G7" s="7"/>
    </row>
    <row r="8" spans="1:7" x14ac:dyDescent="0.25">
      <c r="A8" s="10">
        <v>-1</v>
      </c>
      <c r="B8" s="10">
        <v>-2</v>
      </c>
      <c r="C8" s="10">
        <v>-3</v>
      </c>
      <c r="D8" s="10">
        <v>-4</v>
      </c>
      <c r="E8" s="10">
        <v>-5</v>
      </c>
      <c r="F8" s="10">
        <v>-6</v>
      </c>
      <c r="G8" s="7"/>
    </row>
    <row r="9" spans="1:7" x14ac:dyDescent="0.25">
      <c r="A9" s="10"/>
      <c r="B9" s="10"/>
      <c r="C9" s="10"/>
      <c r="D9" s="10"/>
      <c r="E9" s="10"/>
      <c r="F9" s="10"/>
      <c r="G9" s="7"/>
    </row>
    <row r="10" spans="1:7" x14ac:dyDescent="0.25">
      <c r="A10" s="11">
        <v>2003</v>
      </c>
      <c r="B10" s="12">
        <f>+'17_4_1'!B10</f>
        <v>1978</v>
      </c>
      <c r="C10" s="12">
        <f>+'17_4_1'!E10</f>
        <v>27200</v>
      </c>
      <c r="D10" s="12">
        <f>+'17_4_1'!C10</f>
        <v>4590</v>
      </c>
      <c r="E10" s="12">
        <f>+C10*0.6+D10*0.4</f>
        <v>18156</v>
      </c>
      <c r="F10" s="13">
        <f>+B10/E10</f>
        <v>0.10894470147609606</v>
      </c>
    </row>
    <row r="11" spans="1:7" x14ac:dyDescent="0.25">
      <c r="A11" s="11">
        <v>2004</v>
      </c>
      <c r="B11" s="12">
        <f>+'17_4_1'!B11</f>
        <v>4820</v>
      </c>
      <c r="C11" s="12">
        <f>+'17_4_1'!E11</f>
        <v>76700</v>
      </c>
      <c r="D11" s="12">
        <f>+'17_4_1'!C11</f>
        <v>14600</v>
      </c>
      <c r="E11" s="12">
        <f t="shared" ref="E11:E15" si="0">+C11*0.6+D11*0.4</f>
        <v>51860</v>
      </c>
      <c r="F11" s="13">
        <f t="shared" ref="F11:F17" si="1">+B11/E11</f>
        <v>9.2942537601234096E-2</v>
      </c>
    </row>
    <row r="12" spans="1:7" x14ac:dyDescent="0.25">
      <c r="A12" s="11">
        <v>2005</v>
      </c>
      <c r="B12" s="12">
        <f>+'17_4_1'!B12</f>
        <v>8558</v>
      </c>
      <c r="C12" s="12">
        <f>+'17_4_1'!E12</f>
        <v>106900</v>
      </c>
      <c r="D12" s="12">
        <f>+'17_4_1'!C12</f>
        <v>38390</v>
      </c>
      <c r="E12" s="12">
        <f t="shared" si="0"/>
        <v>79496</v>
      </c>
      <c r="F12" s="13">
        <f t="shared" si="1"/>
        <v>0.10765321525611352</v>
      </c>
    </row>
    <row r="13" spans="1:7" x14ac:dyDescent="0.25">
      <c r="A13" s="11">
        <v>2006</v>
      </c>
      <c r="B13" s="12">
        <f>+'17_4_1'!B13</f>
        <v>12039</v>
      </c>
      <c r="C13" s="12">
        <f>+'17_4_1'!E13</f>
        <v>154300</v>
      </c>
      <c r="D13" s="12">
        <f>+'17_4_1'!C13</f>
        <v>58297</v>
      </c>
      <c r="E13" s="12">
        <f t="shared" si="0"/>
        <v>115898.8</v>
      </c>
      <c r="F13" s="13">
        <f t="shared" si="1"/>
        <v>0.10387510483283692</v>
      </c>
    </row>
    <row r="14" spans="1:7" x14ac:dyDescent="0.25">
      <c r="A14" s="11">
        <v>2007</v>
      </c>
      <c r="B14" s="12">
        <f>+'17_4_1'!B14</f>
        <v>13143</v>
      </c>
      <c r="C14" s="12">
        <f>+'17_4_1'!E14</f>
        <v>163100</v>
      </c>
      <c r="D14" s="12">
        <f>+'17_4_1'!C14</f>
        <v>86074</v>
      </c>
      <c r="E14" s="12">
        <f t="shared" si="0"/>
        <v>132289.60000000001</v>
      </c>
      <c r="F14" s="13">
        <f t="shared" si="1"/>
        <v>9.9350213471051385E-2</v>
      </c>
    </row>
    <row r="15" spans="1:7" x14ac:dyDescent="0.25">
      <c r="A15" s="11">
        <v>2008</v>
      </c>
      <c r="B15" s="12">
        <f>+'17_4_1'!B15</f>
        <v>15286</v>
      </c>
      <c r="C15" s="12">
        <f>+'17_4_1'!E15</f>
        <v>176400</v>
      </c>
      <c r="D15" s="12">
        <f>+'17_4_1'!C15</f>
        <v>105466</v>
      </c>
      <c r="E15" s="12">
        <f t="shared" si="0"/>
        <v>148026.4</v>
      </c>
      <c r="F15" s="13">
        <f t="shared" si="1"/>
        <v>0.10326536347570434</v>
      </c>
    </row>
    <row r="16" spans="1:7" x14ac:dyDescent="0.25">
      <c r="A16" s="11"/>
      <c r="B16" s="12"/>
      <c r="C16" s="12"/>
      <c r="D16" s="12"/>
      <c r="E16" s="12"/>
      <c r="F16" s="14"/>
    </row>
    <row r="17" spans="1:7" x14ac:dyDescent="0.25">
      <c r="A17" s="8" t="s">
        <v>12</v>
      </c>
      <c r="B17" s="12">
        <f>SUM(B10:B15)</f>
        <v>55824</v>
      </c>
      <c r="C17" s="12">
        <f t="shared" ref="C17:E17" si="2">SUM(C10:C15)</f>
        <v>704600</v>
      </c>
      <c r="D17" s="12">
        <f t="shared" si="2"/>
        <v>307417</v>
      </c>
      <c r="E17" s="12">
        <f t="shared" si="2"/>
        <v>545726.80000000005</v>
      </c>
      <c r="F17" s="13">
        <f t="shared" si="1"/>
        <v>0.10229294218279182</v>
      </c>
    </row>
    <row r="18" spans="1:7" x14ac:dyDescent="0.25">
      <c r="A18" s="8"/>
      <c r="B18" s="12"/>
      <c r="C18" s="12"/>
      <c r="D18" s="12"/>
      <c r="E18" s="12"/>
      <c r="F18" s="14"/>
    </row>
    <row r="19" spans="1:7" x14ac:dyDescent="0.25">
      <c r="A19" s="20" t="s">
        <v>84</v>
      </c>
      <c r="F19" s="13">
        <v>0.1</v>
      </c>
    </row>
    <row r="20" spans="1:7" x14ac:dyDescent="0.25">
      <c r="A20" s="20"/>
      <c r="F20" s="13"/>
    </row>
    <row r="21" spans="1:7" x14ac:dyDescent="0.25">
      <c r="A21" s="20" t="s">
        <v>134</v>
      </c>
      <c r="F21" s="12">
        <f>+'17_4_1'!F17</f>
        <v>713400</v>
      </c>
    </row>
    <row r="22" spans="1:7" x14ac:dyDescent="0.25">
      <c r="A22" s="20"/>
      <c r="F22" s="12"/>
    </row>
    <row r="23" spans="1:7" x14ac:dyDescent="0.25">
      <c r="A23" s="20" t="s">
        <v>135</v>
      </c>
      <c r="F23" s="15"/>
    </row>
    <row r="24" spans="1:7" x14ac:dyDescent="0.25">
      <c r="A24" s="16" t="s">
        <v>136</v>
      </c>
      <c r="F24" s="12">
        <f>+F19*F21-B17</f>
        <v>15516</v>
      </c>
      <c r="G24" s="12"/>
    </row>
    <row r="25" spans="1:7" x14ac:dyDescent="0.25">
      <c r="A25" s="16" t="s">
        <v>137</v>
      </c>
      <c r="F25" s="12">
        <f>+F19*(F21-E17)</f>
        <v>16767.319999999996</v>
      </c>
      <c r="G25" s="12"/>
    </row>
    <row r="26" spans="1:7" x14ac:dyDescent="0.25">
      <c r="A26" s="16" t="s">
        <v>138</v>
      </c>
      <c r="F26" s="12">
        <f>(F21/E17-1)*B17</f>
        <v>17151.784953203682</v>
      </c>
      <c r="G26" s="12"/>
    </row>
    <row r="28" spans="1:7" x14ac:dyDescent="0.25">
      <c r="A28" s="21" t="s">
        <v>21</v>
      </c>
    </row>
    <row r="29" spans="1:7" x14ac:dyDescent="0.25">
      <c r="A29" s="20" t="s">
        <v>126</v>
      </c>
    </row>
    <row r="30" spans="1:7" x14ac:dyDescent="0.25">
      <c r="A30" s="20" t="s">
        <v>139</v>
      </c>
    </row>
    <row r="31" spans="1:7" x14ac:dyDescent="0.25">
      <c r="A31" s="20" t="s">
        <v>140</v>
      </c>
    </row>
    <row r="32" spans="1:7" x14ac:dyDescent="0.25">
      <c r="A32" s="20" t="s">
        <v>141</v>
      </c>
    </row>
    <row r="33" spans="1:6" x14ac:dyDescent="0.25">
      <c r="A33" s="20" t="s">
        <v>142</v>
      </c>
    </row>
    <row r="34" spans="1:6" x14ac:dyDescent="0.25">
      <c r="A34" s="20" t="s">
        <v>143</v>
      </c>
    </row>
    <row r="35" spans="1:6" x14ac:dyDescent="0.25">
      <c r="A35" s="20" t="s">
        <v>144</v>
      </c>
    </row>
    <row r="36" spans="1:6" x14ac:dyDescent="0.25">
      <c r="A36" s="20" t="s">
        <v>145</v>
      </c>
    </row>
    <row r="38" spans="1:6" x14ac:dyDescent="0.25">
      <c r="A38" s="20" t="s">
        <v>146</v>
      </c>
      <c r="F38" s="22">
        <v>415</v>
      </c>
    </row>
    <row r="39" spans="1:6" x14ac:dyDescent="0.25">
      <c r="A39" s="20"/>
      <c r="C39" s="2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G39"/>
  <sheetViews>
    <sheetView showGridLines="0" workbookViewId="0">
      <selection activeCell="C5" sqref="C5"/>
    </sheetView>
  </sheetViews>
  <sheetFormatPr defaultColWidth="9.5546875" defaultRowHeight="13.2" x14ac:dyDescent="0.25"/>
  <cols>
    <col min="1" max="6" width="12.5546875" style="3" customWidth="1"/>
    <col min="7" max="16384" width="9.5546875" style="3"/>
  </cols>
  <sheetData>
    <row r="1" spans="1:7" x14ac:dyDescent="0.25">
      <c r="A1" s="19" t="s">
        <v>0</v>
      </c>
      <c r="F1" s="5" t="s">
        <v>100</v>
      </c>
    </row>
    <row r="2" spans="1:7" x14ac:dyDescent="0.25">
      <c r="A2" s="19" t="s">
        <v>101</v>
      </c>
      <c r="F2" s="5" t="s">
        <v>147</v>
      </c>
    </row>
    <row r="3" spans="1:7" x14ac:dyDescent="0.25">
      <c r="A3" s="19" t="s">
        <v>148</v>
      </c>
    </row>
    <row r="4" spans="1:7" x14ac:dyDescent="0.25">
      <c r="A4" s="8"/>
      <c r="B4" s="7"/>
      <c r="C4" s="7"/>
      <c r="D4" s="7"/>
      <c r="E4" s="7"/>
      <c r="F4" s="7"/>
      <c r="G4" s="7"/>
    </row>
    <row r="5" spans="1:7" x14ac:dyDescent="0.25">
      <c r="A5" s="7"/>
      <c r="B5" s="7"/>
      <c r="C5" s="8" t="s">
        <v>104</v>
      </c>
      <c r="D5" s="7"/>
      <c r="E5" s="7"/>
      <c r="F5" s="7"/>
      <c r="G5" s="7"/>
    </row>
    <row r="6" spans="1:7" x14ac:dyDescent="0.25">
      <c r="A6" s="8" t="s">
        <v>5</v>
      </c>
      <c r="B6" s="8" t="s">
        <v>6</v>
      </c>
      <c r="C6" s="8" t="s">
        <v>107</v>
      </c>
      <c r="D6" s="8" t="s">
        <v>6</v>
      </c>
      <c r="E6" s="8" t="s">
        <v>10</v>
      </c>
      <c r="F6" s="8" t="s">
        <v>9</v>
      </c>
      <c r="G6" s="7"/>
    </row>
    <row r="7" spans="1:7" x14ac:dyDescent="0.25">
      <c r="A7" s="9" t="s">
        <v>8</v>
      </c>
      <c r="B7" s="9" t="s">
        <v>9</v>
      </c>
      <c r="C7" s="9" t="s">
        <v>103</v>
      </c>
      <c r="D7" s="9" t="s">
        <v>10</v>
      </c>
      <c r="E7" s="9" t="s">
        <v>133</v>
      </c>
      <c r="F7" s="9" t="s">
        <v>69</v>
      </c>
      <c r="G7" s="7"/>
    </row>
    <row r="8" spans="1:7" x14ac:dyDescent="0.25">
      <c r="A8" s="10">
        <v>-1</v>
      </c>
      <c r="B8" s="10">
        <v>-2</v>
      </c>
      <c r="C8" s="10">
        <v>-3</v>
      </c>
      <c r="D8" s="10">
        <v>-4</v>
      </c>
      <c r="E8" s="10">
        <v>-5</v>
      </c>
      <c r="F8" s="10">
        <v>-6</v>
      </c>
      <c r="G8" s="7"/>
    </row>
    <row r="9" spans="1:7" x14ac:dyDescent="0.25">
      <c r="A9" s="10"/>
      <c r="B9" s="10"/>
      <c r="C9" s="10"/>
      <c r="D9" s="10"/>
      <c r="E9" s="10"/>
      <c r="F9" s="10"/>
      <c r="G9" s="7"/>
    </row>
    <row r="10" spans="1:7" x14ac:dyDescent="0.25">
      <c r="A10" s="11">
        <v>2003</v>
      </c>
      <c r="B10" s="12">
        <f>+'17_4_1'!B10</f>
        <v>1978</v>
      </c>
      <c r="C10" s="12">
        <f>+'17_4_1'!E10</f>
        <v>27200</v>
      </c>
      <c r="D10" s="12">
        <f>+'17_4_1'!C10</f>
        <v>4590</v>
      </c>
      <c r="E10" s="12">
        <f>+C10*0.7+D10*0.3</f>
        <v>20417</v>
      </c>
      <c r="F10" s="13">
        <f>B10/E10</f>
        <v>9.6880050937943871E-2</v>
      </c>
    </row>
    <row r="11" spans="1:7" x14ac:dyDescent="0.25">
      <c r="A11" s="11">
        <v>2004</v>
      </c>
      <c r="B11" s="12">
        <f>+'17_4_1'!B11</f>
        <v>4820</v>
      </c>
      <c r="C11" s="12">
        <f>+'17_4_1'!E11</f>
        <v>76700</v>
      </c>
      <c r="D11" s="12">
        <f>+'17_4_1'!C11</f>
        <v>14600</v>
      </c>
      <c r="E11" s="12">
        <f t="shared" ref="E11:E15" si="0">+C11*0.7+D11*0.3</f>
        <v>58070</v>
      </c>
      <c r="F11" s="13">
        <f t="shared" ref="F11:F17" si="1">B11/E11</f>
        <v>8.3003271913208193E-2</v>
      </c>
    </row>
    <row r="12" spans="1:7" x14ac:dyDescent="0.25">
      <c r="A12" s="11">
        <v>2005</v>
      </c>
      <c r="B12" s="12">
        <f>+'17_4_1'!B12</f>
        <v>8558</v>
      </c>
      <c r="C12" s="12">
        <f>+'17_4_1'!E12</f>
        <v>106900</v>
      </c>
      <c r="D12" s="12">
        <f>+'17_4_1'!C12</f>
        <v>38390</v>
      </c>
      <c r="E12" s="12">
        <f t="shared" si="0"/>
        <v>86347</v>
      </c>
      <c r="F12" s="13">
        <f t="shared" si="1"/>
        <v>9.911172362676178E-2</v>
      </c>
    </row>
    <row r="13" spans="1:7" x14ac:dyDescent="0.25">
      <c r="A13" s="11">
        <v>2006</v>
      </c>
      <c r="B13" s="12">
        <f>+'17_4_1'!B13</f>
        <v>12039</v>
      </c>
      <c r="C13" s="12">
        <f>+'17_4_1'!E13</f>
        <v>154300</v>
      </c>
      <c r="D13" s="12">
        <f>+'17_4_1'!C13</f>
        <v>58297</v>
      </c>
      <c r="E13" s="12">
        <f t="shared" si="0"/>
        <v>125499.1</v>
      </c>
      <c r="F13" s="13">
        <f t="shared" si="1"/>
        <v>9.5928974789460636E-2</v>
      </c>
    </row>
    <row r="14" spans="1:7" x14ac:dyDescent="0.25">
      <c r="A14" s="11">
        <v>2007</v>
      </c>
      <c r="B14" s="12">
        <f>+'17_4_1'!B14</f>
        <v>13143</v>
      </c>
      <c r="C14" s="12">
        <f>+'17_4_1'!E14</f>
        <v>163100</v>
      </c>
      <c r="D14" s="12">
        <f>+'17_4_1'!C14</f>
        <v>86074</v>
      </c>
      <c r="E14" s="12">
        <f t="shared" si="0"/>
        <v>139992.20000000001</v>
      </c>
      <c r="F14" s="13">
        <f t="shared" si="1"/>
        <v>9.3883802097545432E-2</v>
      </c>
    </row>
    <row r="15" spans="1:7" x14ac:dyDescent="0.25">
      <c r="A15" s="11">
        <v>2008</v>
      </c>
      <c r="B15" s="12">
        <f>+'17_4_1'!B15</f>
        <v>15286</v>
      </c>
      <c r="C15" s="12">
        <f>+'17_4_1'!E15</f>
        <v>176400</v>
      </c>
      <c r="D15" s="12">
        <f>+'17_4_1'!C15</f>
        <v>105466</v>
      </c>
      <c r="E15" s="12">
        <f t="shared" si="0"/>
        <v>155119.79999999999</v>
      </c>
      <c r="F15" s="13">
        <f t="shared" si="1"/>
        <v>9.8543190488899549E-2</v>
      </c>
    </row>
    <row r="16" spans="1:7" x14ac:dyDescent="0.25">
      <c r="A16" s="11"/>
      <c r="B16" s="12"/>
      <c r="C16" s="12"/>
      <c r="D16" s="12"/>
      <c r="E16" s="12"/>
      <c r="F16" s="14"/>
    </row>
    <row r="17" spans="1:7" x14ac:dyDescent="0.25">
      <c r="A17" s="8" t="s">
        <v>12</v>
      </c>
      <c r="B17" s="12">
        <f>SUM(B10:B15)</f>
        <v>55824</v>
      </c>
      <c r="C17" s="12">
        <f t="shared" ref="C17:E17" si="2">SUM(C10:C15)</f>
        <v>704600</v>
      </c>
      <c r="D17" s="12">
        <f t="shared" si="2"/>
        <v>307417</v>
      </c>
      <c r="E17" s="12">
        <f t="shared" si="2"/>
        <v>585445.1</v>
      </c>
      <c r="F17" s="13">
        <f t="shared" si="1"/>
        <v>9.5353091177977245E-2</v>
      </c>
    </row>
    <row r="18" spans="1:7" x14ac:dyDescent="0.25">
      <c r="A18" s="8"/>
      <c r="B18" s="12"/>
      <c r="C18" s="12"/>
      <c r="D18" s="12"/>
      <c r="E18" s="12"/>
      <c r="F18" s="14"/>
    </row>
    <row r="19" spans="1:7" x14ac:dyDescent="0.25">
      <c r="A19" s="20" t="s">
        <v>84</v>
      </c>
      <c r="F19" s="13">
        <v>0.1</v>
      </c>
    </row>
    <row r="20" spans="1:7" x14ac:dyDescent="0.25">
      <c r="A20" s="20"/>
      <c r="F20" s="13"/>
    </row>
    <row r="21" spans="1:7" x14ac:dyDescent="0.25">
      <c r="A21" s="20" t="s">
        <v>134</v>
      </c>
      <c r="F21" s="12">
        <f>+'17_4_1'!F17</f>
        <v>713400</v>
      </c>
    </row>
    <row r="22" spans="1:7" x14ac:dyDescent="0.25">
      <c r="A22" s="20"/>
      <c r="F22" s="12"/>
    </row>
    <row r="23" spans="1:7" x14ac:dyDescent="0.25">
      <c r="A23" s="20" t="s">
        <v>135</v>
      </c>
      <c r="F23" s="15"/>
    </row>
    <row r="24" spans="1:7" x14ac:dyDescent="0.25">
      <c r="A24" s="16" t="s">
        <v>136</v>
      </c>
      <c r="F24" s="12">
        <f>+F19*F21-B17</f>
        <v>15516</v>
      </c>
      <c r="G24" s="12"/>
    </row>
    <row r="25" spans="1:7" x14ac:dyDescent="0.25">
      <c r="A25" s="16" t="s">
        <v>137</v>
      </c>
      <c r="F25" s="12">
        <f>+F19*(F21-E17)</f>
        <v>12795.490000000003</v>
      </c>
      <c r="G25" s="12"/>
    </row>
    <row r="26" spans="1:7" x14ac:dyDescent="0.25">
      <c r="A26" s="16" t="s">
        <v>138</v>
      </c>
      <c r="F26" s="12">
        <f>(F21/E17-1)*B17</f>
        <v>12200.895246368966</v>
      </c>
      <c r="G26" s="12"/>
    </row>
    <row r="28" spans="1:7" x14ac:dyDescent="0.25">
      <c r="A28" s="21" t="s">
        <v>21</v>
      </c>
    </row>
    <row r="29" spans="1:7" x14ac:dyDescent="0.25">
      <c r="A29" s="20" t="s">
        <v>126</v>
      </c>
    </row>
    <row r="30" spans="1:7" x14ac:dyDescent="0.25">
      <c r="A30" s="20" t="s">
        <v>149</v>
      </c>
    </row>
    <row r="31" spans="1:7" x14ac:dyDescent="0.25">
      <c r="A31" s="20" t="s">
        <v>140</v>
      </c>
    </row>
    <row r="32" spans="1:7" x14ac:dyDescent="0.25">
      <c r="A32" s="20" t="s">
        <v>141</v>
      </c>
    </row>
    <row r="33" spans="1:6" x14ac:dyDescent="0.25">
      <c r="A33" s="20" t="s">
        <v>142</v>
      </c>
    </row>
    <row r="34" spans="1:6" x14ac:dyDescent="0.25">
      <c r="A34" s="20" t="s">
        <v>143</v>
      </c>
    </row>
    <row r="35" spans="1:6" x14ac:dyDescent="0.25">
      <c r="A35" s="20" t="s">
        <v>144</v>
      </c>
    </row>
    <row r="36" spans="1:6" x14ac:dyDescent="0.25">
      <c r="A36" s="20" t="s">
        <v>145</v>
      </c>
    </row>
    <row r="38" spans="1:6" x14ac:dyDescent="0.25">
      <c r="A38" s="20" t="s">
        <v>150</v>
      </c>
      <c r="F38" s="22">
        <v>416</v>
      </c>
    </row>
    <row r="39" spans="1:6" x14ac:dyDescent="0.25">
      <c r="A39" s="20"/>
      <c r="C39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</vt:lpstr>
      <vt:lpstr>17_1_1</vt:lpstr>
      <vt:lpstr>17_2_1</vt:lpstr>
      <vt:lpstr>17_3_1</vt:lpstr>
      <vt:lpstr>17_3_2</vt:lpstr>
      <vt:lpstr>17_4_1</vt:lpstr>
      <vt:lpstr>17_4_2</vt:lpstr>
      <vt:lpstr>17_4_3</vt:lpstr>
      <vt:lpstr>17_4_4</vt:lpstr>
      <vt:lpstr>17_4_5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Jim Bedford</cp:lastModifiedBy>
  <dcterms:created xsi:type="dcterms:W3CDTF">2015-10-31T19:51:48Z</dcterms:created>
  <dcterms:modified xsi:type="dcterms:W3CDTF">2021-04-17T19:36:40Z</dcterms:modified>
</cp:coreProperties>
</file>